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i.01\Documents\STAVBY, AKCE\Střecha č.p. 26\Příloha č. 1 - PD + VV\"/>
    </mc:Choice>
  </mc:AlternateContent>
  <xr:revisionPtr revIDLastSave="0" documentId="13_ncr:1_{F17FF070-AE53-42D2-9CC9-0CF8A5D8C619}" xr6:coauthVersionLast="47" xr6:coauthVersionMax="47" xr10:uidLastSave="{00000000-0000-0000-0000-000000000000}"/>
  <bookViews>
    <workbookView xWindow="915" yWindow="570" windowWidth="13050" windowHeight="13050" firstSheet="1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Pol'!$A$1:$U$187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39" i="12" l="1"/>
  <c r="E129" i="12"/>
  <c r="E124" i="12" s="1"/>
  <c r="Q124" i="12" s="1"/>
  <c r="E123" i="12"/>
  <c r="E120" i="12" s="1"/>
  <c r="Q120" i="12" s="1"/>
  <c r="E119" i="12"/>
  <c r="E117" i="12" s="1"/>
  <c r="Q117" i="12" s="1"/>
  <c r="E116" i="12"/>
  <c r="E113" i="12" s="1"/>
  <c r="E111" i="12"/>
  <c r="E112" i="12" s="1"/>
  <c r="E104" i="12" s="1"/>
  <c r="E103" i="12"/>
  <c r="E99" i="12" s="1"/>
  <c r="E98" i="12"/>
  <c r="E94" i="12"/>
  <c r="E90" i="12" s="1"/>
  <c r="Q90" i="12" s="1"/>
  <c r="E88" i="12"/>
  <c r="E86" i="12"/>
  <c r="E82" i="12"/>
  <c r="E79" i="12"/>
  <c r="E75" i="12"/>
  <c r="E70" i="12"/>
  <c r="E68" i="12" s="1"/>
  <c r="Q68" i="12" s="1"/>
  <c r="E65" i="12"/>
  <c r="Q65" i="12" s="1"/>
  <c r="E62" i="12"/>
  <c r="Q62" i="12" s="1"/>
  <c r="E58" i="12"/>
  <c r="E61" i="12" s="1"/>
  <c r="E56" i="12" s="1"/>
  <c r="E53" i="12"/>
  <c r="Q53" i="12" s="1"/>
  <c r="E51" i="12"/>
  <c r="E49" i="12"/>
  <c r="Q47" i="12"/>
  <c r="E52" i="12" l="1"/>
  <c r="E47" i="12" s="1"/>
  <c r="Q113" i="12"/>
  <c r="G113" i="12"/>
  <c r="Q99" i="12"/>
  <c r="G99" i="12"/>
  <c r="G120" i="12"/>
  <c r="G124" i="12"/>
  <c r="E89" i="12"/>
  <c r="E71" i="12" s="1"/>
  <c r="Q71" i="12" s="1"/>
  <c r="G117" i="12"/>
  <c r="O120" i="12"/>
  <c r="O124" i="12"/>
  <c r="O117" i="12"/>
  <c r="O113" i="12"/>
  <c r="G104" i="12"/>
  <c r="Q104" i="12"/>
  <c r="O104" i="12"/>
  <c r="O99" i="12"/>
  <c r="G90" i="12"/>
  <c r="O90" i="12"/>
  <c r="G68" i="12"/>
  <c r="O68" i="12"/>
  <c r="G65" i="12"/>
  <c r="O65" i="12"/>
  <c r="G62" i="12"/>
  <c r="O62" i="12"/>
  <c r="G56" i="12"/>
  <c r="O56" i="12"/>
  <c r="Q56" i="12"/>
  <c r="O53" i="12"/>
  <c r="G53" i="12"/>
  <c r="O47" i="12"/>
  <c r="G47" i="12"/>
  <c r="G71" i="12" l="1"/>
  <c r="O71" i="12"/>
  <c r="E143" i="12" l="1"/>
  <c r="E148" i="12" s="1"/>
  <c r="E141" i="12" s="1"/>
  <c r="Q141" i="12" l="1"/>
  <c r="O141" i="12"/>
  <c r="G141" i="12"/>
  <c r="E167" i="12"/>
  <c r="E132" i="12"/>
  <c r="E174" i="12"/>
  <c r="E171" i="12"/>
  <c r="E138" i="12"/>
  <c r="E135" i="12"/>
  <c r="E133" i="12" s="1"/>
  <c r="Q133" i="12" s="1"/>
  <c r="E38" i="12"/>
  <c r="E34" i="12"/>
  <c r="G133" i="12" l="1"/>
  <c r="O133" i="12"/>
  <c r="E46" i="12"/>
  <c r="E44" i="12"/>
  <c r="E40" i="12"/>
  <c r="E149" i="12"/>
  <c r="Q149" i="12" s="1"/>
  <c r="G149" i="12" l="1"/>
  <c r="O149" i="12"/>
  <c r="E23" i="12"/>
  <c r="E26" i="12" s="1"/>
  <c r="E20" i="12"/>
  <c r="E18" i="12" s="1"/>
  <c r="E12" i="12"/>
  <c r="E169" i="12"/>
  <c r="E165" i="12"/>
  <c r="E163" i="12"/>
  <c r="E161" i="12"/>
  <c r="E159" i="12"/>
  <c r="E152" i="12"/>
  <c r="Q152" i="12" s="1"/>
  <c r="E136" i="12"/>
  <c r="Q136" i="12" s="1"/>
  <c r="E130" i="12"/>
  <c r="Q130" i="12" s="1"/>
  <c r="E42" i="12"/>
  <c r="O152" i="12" l="1"/>
  <c r="E95" i="12"/>
  <c r="G152" i="12"/>
  <c r="G136" i="12"/>
  <c r="O136" i="12"/>
  <c r="G130" i="12"/>
  <c r="O130" i="12"/>
  <c r="Q95" i="12" l="1"/>
  <c r="O95" i="12"/>
  <c r="G95" i="12"/>
  <c r="E21" i="12" l="1"/>
  <c r="Q18" i="12"/>
  <c r="E17" i="12"/>
  <c r="E15" i="12" s="1"/>
  <c r="E43" i="12"/>
  <c r="O21" i="12" l="1"/>
  <c r="G21" i="12"/>
  <c r="Q21" i="12"/>
  <c r="G18" i="12"/>
  <c r="O18" i="12"/>
  <c r="E39" i="12"/>
  <c r="E29" i="12"/>
  <c r="G155" i="12" l="1"/>
  <c r="G10" i="12"/>
  <c r="E11" i="12" l="1"/>
  <c r="G11" i="12" s="1"/>
  <c r="Q155" i="12"/>
  <c r="O155" i="12"/>
  <c r="Q11" i="12" l="1"/>
  <c r="O11" i="12"/>
  <c r="Q10" i="12"/>
  <c r="O10" i="12"/>
  <c r="E45" i="12" l="1"/>
  <c r="G45" i="12" s="1"/>
  <c r="E41" i="12"/>
  <c r="E35" i="12"/>
  <c r="G35" i="12" s="1"/>
  <c r="E30" i="12"/>
  <c r="G30" i="12" s="1"/>
  <c r="Q41" i="12" l="1"/>
  <c r="G41" i="12"/>
  <c r="Q35" i="12"/>
  <c r="O35" i="12"/>
  <c r="Q45" i="12"/>
  <c r="O45" i="12"/>
  <c r="O41" i="12"/>
  <c r="M156" i="12"/>
  <c r="K156" i="12"/>
  <c r="I156" i="12"/>
  <c r="Q30" i="12"/>
  <c r="E27" i="12"/>
  <c r="G27" i="12" s="1"/>
  <c r="G9" i="12"/>
  <c r="M9" i="12" s="1"/>
  <c r="I9" i="12"/>
  <c r="K9" i="12"/>
  <c r="O9" i="12"/>
  <c r="Q9" i="12"/>
  <c r="U9" i="12"/>
  <c r="G13" i="12"/>
  <c r="M13" i="12" s="1"/>
  <c r="I13" i="12"/>
  <c r="K13" i="12"/>
  <c r="O13" i="12"/>
  <c r="Q13" i="12"/>
  <c r="U13" i="12"/>
  <c r="Q39" i="12" l="1"/>
  <c r="G39" i="12"/>
  <c r="Q43" i="12"/>
  <c r="G43" i="12"/>
  <c r="Q15" i="12"/>
  <c r="G15" i="12"/>
  <c r="Q27" i="12"/>
  <c r="O27" i="12"/>
  <c r="E175" i="12"/>
  <c r="E157" i="12" s="1"/>
  <c r="U156" i="12"/>
  <c r="O30" i="12"/>
  <c r="O39" i="12"/>
  <c r="O43" i="12"/>
  <c r="O15" i="12"/>
  <c r="O8" i="12"/>
  <c r="U8" i="12"/>
  <c r="G8" i="12"/>
  <c r="I47" i="1" s="1"/>
  <c r="I8" i="12"/>
  <c r="Q8" i="12"/>
  <c r="K8" i="12"/>
  <c r="M8" i="12"/>
  <c r="Q157" i="12" l="1"/>
  <c r="Q156" i="12" s="1"/>
  <c r="G157" i="12"/>
  <c r="G156" i="12" s="1"/>
  <c r="I49" i="1" s="1"/>
  <c r="O157" i="12"/>
  <c r="O156" i="12" l="1"/>
  <c r="G139" i="12" l="1"/>
  <c r="Q139" i="12" l="1"/>
  <c r="O139" i="12"/>
  <c r="AC177" i="12"/>
  <c r="F39" i="1" s="1"/>
  <c r="I14" i="12"/>
  <c r="K14" i="12"/>
  <c r="U14" i="12"/>
  <c r="I18" i="1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Q14" i="12" l="1"/>
  <c r="O14" i="12"/>
  <c r="M14" i="12"/>
  <c r="G14" i="12"/>
  <c r="G177" i="12" s="1"/>
  <c r="F40" i="1"/>
  <c r="G23" i="1" s="1"/>
  <c r="G24" i="1" s="1"/>
  <c r="AD177" i="12"/>
  <c r="G39" i="1" s="1"/>
  <c r="G40" i="1" s="1"/>
  <c r="I19" i="1" l="1"/>
  <c r="I48" i="1"/>
  <c r="I50" i="1" s="1"/>
  <c r="G28" i="1"/>
  <c r="I16" i="1"/>
  <c r="H39" i="1"/>
  <c r="I17" i="1" l="1"/>
  <c r="I21" i="1" s="1"/>
  <c r="G25" i="1" s="1"/>
  <c r="H40" i="1"/>
  <c r="I39" i="1"/>
  <c r="I40" i="1" s="1"/>
  <c r="J39" i="1" s="1"/>
  <c r="J40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<sst xmlns="http://schemas.openxmlformats.org/spreadsheetml/2006/main" count="335" uniqueCount="247">
  <si>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</si>
  <si>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</si>
  <si>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</si>
  <si>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</si>
  <si>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</si>
  <si>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</si>
  <si>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</si>
  <si>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</si>
  <si>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</si>
  <si>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</si>
  <si>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</si>
  <si>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</si>
  <si>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</si>
  <si>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</si>
  <si>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</si>
  <si>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</si>
  <si>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</si>
  <si>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</si>
  <si>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</si>
  <si>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</si>
  <si>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</si>
  <si>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</si>
  <si>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</si>
  <si>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</si>
  <si>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</si>
  <si>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</si>
  <si>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</si>
  <si>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</si>
  <si>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</si>
  <si>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</si>
  <si>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</si>
  <si>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</si>
  <si>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</si>
  <si>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</si>
  <si>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</si>
  <si>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</si>
  <si>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</si>
  <si>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</si>
  <si>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</si>
  <si>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</si>
  <si>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</si>
  <si>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</si>
  <si>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</si>
  <si>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</si>
  <si>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</si>
  <si>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</si>
  <si>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</si>
  <si>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</si>
  <si>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</si>
  <si>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762</t>
  </si>
  <si>
    <t>Konstrukce tesařské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</si>
  <si>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</si>
  <si>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</si>
  <si>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</si>
  <si>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</si>
  <si>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</si>
  <si>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</si>
  <si>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</si>
  <si>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</si>
  <si>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</si>
  <si>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</si>
  <si>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</si>
  <si>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</si>
  <si>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</si>
  <si>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</si>
  <si>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</si>
  <si>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</si>
  <si>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</si>
  <si>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</si>
  <si>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</si>
  <si>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</si>
  <si>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</si>
  <si>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</si>
  <si>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</si>
  <si>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</si>
  <si>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</si>
  <si>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</si>
  <si>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</si>
  <si>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</si>
  <si>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</si>
  <si>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m2</t>
  </si>
  <si>
    <t>POL1_0</t>
  </si>
  <si>
    <t>t</t>
  </si>
  <si>
    <t/>
  </si>
  <si>
    <t>SUM</t>
  </si>
  <si>
    <t>END</t>
  </si>
  <si>
    <t>Město Přelouč</t>
  </si>
  <si>
    <t>002 74 101</t>
  </si>
  <si>
    <t>Českosloveské armády 1665</t>
  </si>
  <si>
    <t>CZ00274101</t>
  </si>
  <si>
    <t>535 33 Přelouč</t>
  </si>
  <si>
    <t>specifikace</t>
  </si>
  <si>
    <t>R pol.</t>
  </si>
  <si>
    <t>Dodávka závitových tyčí (pozinkovaných) průměru 16 mm</t>
  </si>
  <si>
    <t>m</t>
  </si>
  <si>
    <t>Dodávka pozinkovaných matic k závitovým tyčím průměru 16 mm</t>
  </si>
  <si>
    <t>1000 ks</t>
  </si>
  <si>
    <t>Dodávka kruhových pozinkovaných podložek tl. 3 mm průměru 40 mm s otvorem průměru 18 mm pro závitovou tyč</t>
  </si>
  <si>
    <t>m3</t>
  </si>
  <si>
    <t>kus</t>
  </si>
  <si>
    <t>Montáž ocelových spojovacích prostředků, kotevních želez příložek, patek, táhel</t>
  </si>
  <si>
    <t>Nátěry</t>
  </si>
  <si>
    <t>Napouštěcí nátěr tesařských konstrukcí jednonásobný fungicidní syntetický</t>
  </si>
  <si>
    <t>Jeřáb mobilní na automobilovém podvozku nosnost 28 t</t>
  </si>
  <si>
    <t>hod</t>
  </si>
  <si>
    <t>Přesun sutě</t>
  </si>
  <si>
    <t>Vnitrostaveništní doprava suti a vybouraných hmot vodorovně do 50 m a svisle ručně pro budovy výšky do 15 m</t>
  </si>
  <si>
    <t>Odvoz suti a vybouraných hmot na skládku se složením, na vzdálenost do 1 km</t>
  </si>
  <si>
    <t>Příplatek k ceně za každý další i započatý i započatý 1 km přes 1 km</t>
  </si>
  <si>
    <t>Přesun hmot pro konstrukce tesařské, vodorovná vzdálenost do 50 m, v objektech výšky do 24 m</t>
  </si>
  <si>
    <t xml:space="preserve">Poplatek za uložení stavebního odpadu na skládce (skládkovné) dřevěného  </t>
  </si>
  <si>
    <t>997</t>
  </si>
  <si>
    <t>783</t>
  </si>
  <si>
    <t xml:space="preserve">zesílení vazných trámů příložkami z ploché oceli rozměru 200*2000 mm tl. 10 mm, dvorní strana v délce 6*10,000 m, tj. 30 ks, uliční strana v délce 6x8,000 m, tj. 24 ks </t>
  </si>
  <si>
    <t>30+24</t>
  </si>
  <si>
    <t>pro přichycení doplňujících šikmých sloupků na dvorní straně budovy délky 315 mm - 25 ks</t>
  </si>
  <si>
    <t>pro přichycení ocelových příložek pro zesílení vazných trámů na dvorní straně budovy délky 290 mm - 60 ks</t>
  </si>
  <si>
    <t>pro přichycení ocelových příložek pro zesílení vazných trámů na uliční straně budovy délky 290 mm - 48 ks</t>
  </si>
  <si>
    <t>pro přichycení doplňujících šikmých sloupků na uliční straně budovy délky 320 mm - 20 ks</t>
  </si>
  <si>
    <t>Montáž ocelových spojovacích prostředků, kotevních želez svorníků, šroubů délky do 300 mm</t>
  </si>
  <si>
    <t>60+48</t>
  </si>
  <si>
    <t>přichycení ocelových příložek pro zesílení vazných trámů</t>
  </si>
  <si>
    <t>Montáž ocelových spojovacích prostředků, kotevních želez svorníků, šroubů délky do 450 mm</t>
  </si>
  <si>
    <t>přichycení doplňujících šikmých sloupků</t>
  </si>
  <si>
    <t>25+20</t>
  </si>
  <si>
    <t>pro zesílení vazných trámů</t>
  </si>
  <si>
    <t>doplnění krokví rozměru 120/180 mm</t>
  </si>
  <si>
    <t>(4*12,500)+(4*10,800)</t>
  </si>
  <si>
    <t>dvorní strana v délce 4*cca 12,500 m</t>
  </si>
  <si>
    <t>uliční strana v délce 4*cca 10,800 m</t>
  </si>
  <si>
    <t>doplnění šikmých sloupků rozměru 120/180 mm</t>
  </si>
  <si>
    <t>dvorní strana v délce 5*cca 2,800 m</t>
  </si>
  <si>
    <t>uliční strana v délce 5*cca 2,600 m</t>
  </si>
  <si>
    <t>(5*2,800)+(5*2,600)</t>
  </si>
  <si>
    <t>doplnění pásků rozměru 140/140 mm</t>
  </si>
  <si>
    <t>dvorní strana v délce 8*cca 1,500 mm</t>
  </si>
  <si>
    <t>dvorní i uliční strana v délce 20*cca 2,500 m</t>
  </si>
  <si>
    <t>20*2,500</t>
  </si>
  <si>
    <t>výměna (nastavení) pozednice horní rozměru 230/170 mm</t>
  </si>
  <si>
    <t>výměna (nastavení) vazného trámu rozměru 230/260 mm</t>
  </si>
  <si>
    <t>Dodávka závitových tyčí (pozinkovaných) průměru 20 mm</t>
  </si>
  <si>
    <t>Dodávka pozinkovaných matic k závitovým tyčím průměru 20 mm</t>
  </si>
  <si>
    <t>(60+48)*2/1000</t>
  </si>
  <si>
    <t>Dodávka kruhových pozinkovaných podložek tl. 3 mm průměru 50 mm s otvorem průměru 22 mm pro závitovou tyč</t>
  </si>
  <si>
    <t xml:space="preserve">Dodávka trámů hoblovaných se sraženými hranami z jehličnatého řeziva třídy pevnosti C22 rozměru 230/170 mm </t>
  </si>
  <si>
    <t xml:space="preserve">Dodávka trámů hoblovaných se sraženými hranami z jehličnatého řeziva třídy pevnosti C22 rozměru 230/260 mm </t>
  </si>
  <si>
    <t xml:space="preserve">Dodávka trámů hoblovaných se sraženými hranami z jehličnatého řeziva třídy pevnosti C22 rozměru 120/180 mm </t>
  </si>
  <si>
    <t>doplnění krokví na na dvorní straně budovy v délce 4* cca 12,500 m</t>
  </si>
  <si>
    <t>doplnění krokví na na uliční straně budovy v délce 4* cca 10,800 m</t>
  </si>
  <si>
    <t>doplnění šikmých sloupků na dvorní straně budovy v délce 5* cca 2,800 m</t>
  </si>
  <si>
    <t>doplnění šikmých sloupků na uliční straně budovy v délce 5* cca 2,600 m</t>
  </si>
  <si>
    <t>nastavení krokví na dvorní i uliční straně budovy v délce 20* cca 2,500 m</t>
  </si>
  <si>
    <t xml:space="preserve">Dodávka trámů hoblovaných se sraženými hranami z jehličnatého řeziva třídy pevnosti C22 rozměru 140/140 mm </t>
  </si>
  <si>
    <t>doplnění pásků na dvorní straně budovy v délce 8* cca 1,500 m</t>
  </si>
  <si>
    <t>dvorní strana v délce 8*cca 12,500 m</t>
  </si>
  <si>
    <t>uliční strana v délce 8*cca 10,800 m</t>
  </si>
  <si>
    <t>(8*12,500)+(8*10,800)</t>
  </si>
  <si>
    <t>Demontáž vázaných konstrukcí krovu z hranolů, hranolků průřezové plochy do 288 cm2</t>
  </si>
  <si>
    <t>2*0,500</t>
  </si>
  <si>
    <t>'demontáž stávajících krokví rozměru 150/170 mm délky 8*12,500 m na dvorní straně budovy před přemístěním do nové pozice</t>
  </si>
  <si>
    <t>8*12,500</t>
  </si>
  <si>
    <t>demontáž stávajících krokví rozměru 150/170 mm délky 8*10,800 m na uliční straně budovy před přemístěním do nové pozice</t>
  </si>
  <si>
    <t>8*10,800</t>
  </si>
  <si>
    <t>Klínování vazných trámů dubovými klíny vůči podporám včetně dodávky klínů - 4 ks klínů 1 soubor</t>
  </si>
  <si>
    <t>soubor</t>
  </si>
  <si>
    <t xml:space="preserve">doprava vazebních trámů do prostoru půdy </t>
  </si>
  <si>
    <t>(0,210+0,160)*2*12,000</t>
  </si>
  <si>
    <t>(0,230+0,170)*2*10</t>
  </si>
  <si>
    <t>(0,230+0,260)*2*13,000</t>
  </si>
  <si>
    <t>(0,120+0,180)*2*93,200</t>
  </si>
  <si>
    <t>(0,120+0,180)*2*27,000</t>
  </si>
  <si>
    <t>pozednice rozměru 210/160 mm délky 12,000 m</t>
  </si>
  <si>
    <t>pozednice rozměru 230/170 mm délky 10,000 m</t>
  </si>
  <si>
    <t>vazné trámy rozměru 230/260 mm déljky 13,000 m</t>
  </si>
  <si>
    <t>krokve rozměru 120/180 mm délky 93,200 m</t>
  </si>
  <si>
    <t>(0,140+0,140)*2*12,000</t>
  </si>
  <si>
    <t>1,30400*12</t>
  </si>
  <si>
    <t>zajištění tesařských spojů svorníkem</t>
  </si>
  <si>
    <t>Dodávka ocelová příložka rozměru 200*2000 mm tl. 10 mm s otvory průměru 22 mm prováděnými střídavě v 1/3 šířky příložky po 500 mm, krajní otvory umístěny ve  vzdálenosti 250 mm od kraje příložky, opatřená základním nátěrem, ocel jakost S235, ČSN 11375</t>
  </si>
  <si>
    <t>HZS</t>
  </si>
  <si>
    <t xml:space="preserve">Práce v tarifní třídě 8 </t>
  </si>
  <si>
    <t>odborné tesařské práce - kvalifikovaný pracovník s odborností práce na památkách - spoje dřevo-dřevo budou provedeny tesařsky</t>
  </si>
  <si>
    <t>pro zajištění tesařských spojů svorníkem délky 320 mm - 40 ks</t>
  </si>
  <si>
    <t>(25+20+40)*2/1000</t>
  </si>
  <si>
    <t>((0,315*25)+(0,320*(20+40)*1,10)</t>
  </si>
  <si>
    <t>((60+48)*0,290)*1,10</t>
  </si>
  <si>
    <t>(0,120*0,180)*((4*12,500)+(4*10,800)+(5*2,800)+(5*2,600)*1,10)</t>
  </si>
  <si>
    <t>(0,140*0,140)*(8*1,500)*1,10</t>
  </si>
  <si>
    <t>8*1,500</t>
  </si>
  <si>
    <t>vyrovnání krokví příložkami 80/160 mm</t>
  </si>
  <si>
    <t>(bude čerpáno pouze v případě potřeby po odsouhlasení TDS)</t>
  </si>
  <si>
    <t>13*12,500</t>
  </si>
  <si>
    <t>dvorní strana v délce 13*12,500 m</t>
  </si>
  <si>
    <t>uliční strana v délce 13*10,800</t>
  </si>
  <si>
    <t>13*10,800</t>
  </si>
  <si>
    <t xml:space="preserve">Dodávka trámů hoblovaných se sraženými hranami z jehličnatého řeziva třídy pevnosti C22 rozměru 80/160 mm </t>
  </si>
  <si>
    <t>vyrovnání krokví (bude čerpáno pouze v případě potřeby po odsouhlasení TDS)</t>
  </si>
  <si>
    <t>(0,080*0,160)*(12,500+10,800)*13*1,10</t>
  </si>
  <si>
    <t>sloupky rozměru 120/180 mm délky 27,000 m</t>
  </si>
  <si>
    <t>pásky rozměru 140/140 mm délky 12,000 m</t>
  </si>
  <si>
    <t>příložky pro vyrovnání krokví rozměru 80/160 mm délky délky 302,900 m</t>
  </si>
  <si>
    <t>(0,080+0,160)*2*302,900</t>
  </si>
  <si>
    <t xml:space="preserve">Dodávka trámů hoblovaných se sraženými hranami z jehličnatého řeziva třídy pevnosti C22 rozměru 160/140 mm </t>
  </si>
  <si>
    <t>(0,160*0,140)*(20*2,500)*1,10</t>
  </si>
  <si>
    <t>nastavení krokví rozměru 160/140 mm</t>
  </si>
  <si>
    <t>přemístění stávajících krokví rozměru 160/140 do nové pozice</t>
  </si>
  <si>
    <t>krokve rozměru 160/140 mm délky 50,000 m</t>
  </si>
  <si>
    <t>(0,160+0,140)*2*50,000</t>
  </si>
  <si>
    <t>Spojovací prostředky krovů, bednění a laťování, nadstřešních konstrukcí - svory, prkna, hřebíky, pásová ocel, vruty</t>
  </si>
  <si>
    <t>doplnění krokví</t>
  </si>
  <si>
    <t>(0,120*0,180)*((4*12,500)+(4*10,800))*1,10</t>
  </si>
  <si>
    <t>nastavení krokví</t>
  </si>
  <si>
    <t>Vyřezání části střešní vazby plochy do 224 cm2, délky do 5 m</t>
  </si>
  <si>
    <t>vyřezání vaznice rozměru 140/150 mm délky 4,200 m</t>
  </si>
  <si>
    <t>Vyřezání části střešní vazby plochy do 288 cm2, délky do 3 m</t>
  </si>
  <si>
    <t>vyřezání sloupků rozměru 150/150 mm délky 2*0,500 m</t>
  </si>
  <si>
    <t>vyřezání dolní pozenice rozměru 180/160 mm délky 1,100 m ve dvorní části budovy</t>
  </si>
  <si>
    <t>Vyřezání části střešní vazby plochy do 288 cm2, délky přes 8 m</t>
  </si>
  <si>
    <t>vyřezání dolní pozednice rozměru 180/160 mm délky 8,300 m v uliční části budovy</t>
  </si>
  <si>
    <t>Vyřezání části střešní vazby plochy do 450 cm2, délky přes 8 m</t>
  </si>
  <si>
    <t>vyřezání horní pozednice rozměru 230/170 mm délky 8,300 m v uliční části budovy</t>
  </si>
  <si>
    <t>Vyřezání části střešní vazby plochy přes 450 cm2, délky do 3 m</t>
  </si>
  <si>
    <t xml:space="preserve">vyřezání vazných trámů rozměru 230/260 mm </t>
  </si>
  <si>
    <t>3*2,000+3,000</t>
  </si>
  <si>
    <t>Montáž vázaných konstrukcí střech sedlových obdélníkového půdorysu z řeziva hoblovaného průřezové plochy do 224 cm2</t>
  </si>
  <si>
    <t>Montáž vázaných konstrukcí střech sedlových obdélníkového půdorysu z řeziva hoblovaného  průřezové plochy do 288 cm2</t>
  </si>
  <si>
    <t>Doplnění části střešní vazby z hranolů nebo hranolků průřezové plochy do 224 cm2</t>
  </si>
  <si>
    <t>Doplnění části střešní vazby z hranolů nebo hranolků průřezové plochy do 288 cm2</t>
  </si>
  <si>
    <t>výměna (nastavení) pozednice dolní rozměru 180/160 mm</t>
  </si>
  <si>
    <t>dvorní strana v délce 1,100 m</t>
  </si>
  <si>
    <t>uliční strana v délce 8,300 m</t>
  </si>
  <si>
    <t>1,100+8,300</t>
  </si>
  <si>
    <t>Doplnění části střešní vazby z hranolů nebo hranolků průřezové plochy do 450 cm2</t>
  </si>
  <si>
    <t>uliční strana v délce cca 8,300 m</t>
  </si>
  <si>
    <t>dvorní strana v délce 3,000 m</t>
  </si>
  <si>
    <t>uliční strana v délce 3*2,000 m</t>
  </si>
  <si>
    <t>3,000*(3*2,000)</t>
  </si>
  <si>
    <t xml:space="preserve">Dodávka trámů hoblovaných se sraženými hranami z jehličnatého řeziva třídy pevnosti C22 rozměru 180/160 mm </t>
  </si>
  <si>
    <t>výměna (nastavení) dolní pozednice na dvorní straně budovy v délce 1,100 m</t>
  </si>
  <si>
    <t>výměna (nastavení) dolní pozednice na uliční straně budovy v délce 8,300 m</t>
  </si>
  <si>
    <t>(0,180*0,160)*(1,100+8,300)*1,10</t>
  </si>
  <si>
    <t>výměna (nastavení) horní pozednice na uliční straně budovy v délce 8,300 m</t>
  </si>
  <si>
    <t>(0,230*0,170)*8,300*1,10</t>
  </si>
  <si>
    <t>výměna (nastavení) vazného trámu na dvorní straně budovy v délce 3,000 m</t>
  </si>
  <si>
    <t>výměna (nastavení) vazného trámu na uliční straně budovy v délce 3*2,000 m</t>
  </si>
  <si>
    <t>(0,230*0,260)*((3,000+(3*2,000)*1,10))</t>
  </si>
  <si>
    <t>"Oprava střechy a krovu objektu č.p. 26"- KROV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</si>
</sst>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0.00000"/>
    <numFmt numFmtId="166" formatCode="0.000"/>
    <numFmt numFmtId="167" formatCode="#,##0.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theme="3"/>
      <name val="Arial CE"/>
      <charset val="238"/>
    </font>
    <font>
      <sz val="8"/>
      <color rgb="FFFF0000"/>
      <name val="Arial CE"/>
      <charset val="238"/>
    </font>
    <font>
      <sz val="8"/>
      <color rgb="FF33996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Font="1" applyAlignment="1">
      <alignment wrapText="1"/>
    </xf>
    <xf numFmtId="0" fontId="0" fillId="3" borderId="49" xfId="0" applyFill="1" applyBorder="1" applyAlignment="1">
      <alignment wrapText="1"/>
    </xf>
    <xf numFmtId="0" fontId="16" fillId="0" borderId="33" xfId="0" applyFont="1" applyBorder="1" applyAlignment="1">
      <alignment horizontal="center" vertical="top" shrinkToFit="1"/>
    </xf>
    <xf numFmtId="0" fontId="18" fillId="0" borderId="33" xfId="0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50" xfId="0" applyFill="1" applyBorder="1" applyAlignment="1">
      <alignment wrapText="1"/>
    </xf>
    <xf numFmtId="4" fontId="16" fillId="0" borderId="38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0" fontId="16" fillId="0" borderId="10" xfId="0" applyFont="1" applyBorder="1" applyAlignment="1">
      <alignment vertical="top"/>
    </xf>
    <xf numFmtId="0" fontId="16" fillId="0" borderId="26" xfId="0" applyFont="1" applyBorder="1" applyAlignment="1">
      <alignment horizontal="left" vertical="top"/>
    </xf>
    <xf numFmtId="0" fontId="18" fillId="0" borderId="38" xfId="0" applyFont="1" applyBorder="1" applyAlignment="1">
      <alignment horizontal="center" vertical="top" wrapText="1" shrinkToFit="1"/>
    </xf>
    <xf numFmtId="164" fontId="16" fillId="0" borderId="38" xfId="0" applyNumberFormat="1" applyFont="1" applyBorder="1" applyAlignment="1">
      <alignment vertical="top" shrinkToFit="1"/>
    </xf>
    <xf numFmtId="0" fontId="18" fillId="0" borderId="38" xfId="0" quotePrefix="1" applyFont="1" applyBorder="1" applyAlignment="1">
      <alignment horizontal="left" vertical="top" wrapText="1"/>
    </xf>
    <xf numFmtId="164" fontId="18" fillId="0" borderId="38" xfId="0" applyNumberFormat="1" applyFont="1" applyBorder="1" applyAlignment="1">
      <alignment vertical="top" wrapText="1" shrinkToFit="1"/>
    </xf>
    <xf numFmtId="0" fontId="16" fillId="0" borderId="38" xfId="0" applyFont="1" applyBorder="1" applyAlignment="1">
      <alignment vertical="top"/>
    </xf>
    <xf numFmtId="0" fontId="16" fillId="0" borderId="33" xfId="0" applyFont="1" applyBorder="1" applyAlignment="1">
      <alignment horizontal="center" vertical="top" wrapText="1" shrinkToFit="1"/>
    </xf>
    <xf numFmtId="165" fontId="16" fillId="0" borderId="38" xfId="0" quotePrefix="1" applyNumberFormat="1" applyFont="1" applyBorder="1" applyAlignment="1">
      <alignment vertical="top" wrapText="1"/>
    </xf>
    <xf numFmtId="4" fontId="16" fillId="0" borderId="34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165" fontId="16" fillId="0" borderId="33" xfId="0" quotePrefix="1" applyNumberFormat="1" applyFont="1" applyBorder="1" applyAlignment="1">
      <alignment vertical="top" wrapText="1"/>
    </xf>
    <xf numFmtId="0" fontId="16" fillId="0" borderId="26" xfId="0" quotePrefix="1" applyFont="1" applyBorder="1" applyAlignment="1">
      <alignment horizontal="left" vertical="top" wrapText="1"/>
    </xf>
    <xf numFmtId="164" fontId="16" fillId="0" borderId="33" xfId="0" applyNumberFormat="1" applyFont="1" applyBorder="1" applyAlignment="1">
      <alignment vertical="top" wrapText="1" shrinkToFit="1"/>
    </xf>
    <xf numFmtId="164" fontId="16" fillId="0" borderId="26" xfId="0" applyNumberFormat="1" applyFont="1" applyBorder="1" applyAlignment="1">
      <alignment vertical="top" shrinkToFit="1"/>
    </xf>
    <xf numFmtId="0" fontId="18" fillId="0" borderId="10" xfId="0" quotePrefix="1" applyFont="1" applyBorder="1" applyAlignment="1">
      <alignment horizontal="left" vertical="top" wrapText="1"/>
    </xf>
    <xf numFmtId="0" fontId="16" fillId="0" borderId="26" xfId="0" applyFont="1" applyBorder="1" applyAlignment="1">
      <alignment horizontal="left" vertical="top" wrapText="1"/>
    </xf>
    <xf numFmtId="0" fontId="16" fillId="0" borderId="38" xfId="0" applyFont="1" applyBorder="1" applyAlignment="1">
      <alignment horizontal="center" vertical="top" wrapText="1" shrinkToFit="1"/>
    </xf>
    <xf numFmtId="4" fontId="16" fillId="0" borderId="37" xfId="0" applyNumberFormat="1" applyFont="1" applyBorder="1" applyAlignment="1">
      <alignment vertical="top" wrapText="1" shrinkToFit="1"/>
    </xf>
    <xf numFmtId="0" fontId="20" fillId="0" borderId="26" xfId="0" quotePrefix="1" applyFont="1" applyBorder="1" applyAlignment="1">
      <alignment horizontal="left" vertical="top" wrapText="1"/>
    </xf>
    <xf numFmtId="164" fontId="20" fillId="0" borderId="33" xfId="0" applyNumberFormat="1" applyFont="1" applyBorder="1" applyAlignment="1">
      <alignment vertical="top" wrapText="1" shrinkToFit="1"/>
    </xf>
    <xf numFmtId="0" fontId="16" fillId="0" borderId="38" xfId="0" applyFont="1" applyBorder="1" applyAlignment="1">
      <alignment horizontal="center"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164" fontId="16" fillId="0" borderId="0" xfId="0" applyNumberFormat="1" applyFont="1" applyAlignment="1">
      <alignment vertical="top" wrapText="1" shrinkToFit="1"/>
    </xf>
    <xf numFmtId="0" fontId="16" fillId="0" borderId="33" xfId="0" quotePrefix="1" applyFont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/>
    </xf>
    <xf numFmtId="4" fontId="16" fillId="0" borderId="38" xfId="0" applyNumberFormat="1" applyFont="1" applyBorder="1" applyAlignment="1" applyProtection="1">
      <alignment vertical="top" shrinkToFit="1"/>
      <protection locked="0"/>
    </xf>
    <xf numFmtId="0" fontId="21" fillId="0" borderId="26" xfId="0" applyFont="1" applyBorder="1" applyAlignment="1">
      <alignment vertical="top"/>
    </xf>
    <xf numFmtId="0" fontId="18" fillId="0" borderId="26" xfId="0" applyFont="1" applyBorder="1" applyAlignment="1">
      <alignment horizontal="center" vertical="top" wrapText="1" shrinkToFit="1"/>
    </xf>
    <xf numFmtId="164" fontId="18" fillId="0" borderId="26" xfId="0" applyNumberFormat="1" applyFont="1" applyBorder="1" applyAlignment="1">
      <alignment vertical="top" wrapText="1" shrinkToFit="1"/>
    </xf>
    <xf numFmtId="164" fontId="18" fillId="0" borderId="10" xfId="0" applyNumberFormat="1" applyFont="1" applyBorder="1" applyAlignment="1">
      <alignment vertical="top" wrapText="1" shrinkToFit="1"/>
    </xf>
    <xf numFmtId="4" fontId="16" fillId="0" borderId="37" xfId="0" applyNumberFormat="1" applyFont="1" applyBorder="1" applyAlignment="1" applyProtection="1">
      <alignment vertical="top" shrinkToFit="1"/>
      <protection locked="0"/>
    </xf>
    <xf numFmtId="0" fontId="21" fillId="0" borderId="10" xfId="0" applyFont="1" applyBorder="1" applyAlignment="1">
      <alignment vertical="top"/>
    </xf>
    <xf numFmtId="166" fontId="18" fillId="0" borderId="38" xfId="0" quotePrefix="1" applyNumberFormat="1" applyFont="1" applyBorder="1" applyAlignment="1">
      <alignment horizontal="left" vertical="top" wrapText="1"/>
    </xf>
    <xf numFmtId="166" fontId="18" fillId="0" borderId="33" xfId="0" quotePrefix="1" applyNumberFormat="1" applyFont="1" applyBorder="1" applyAlignment="1">
      <alignment horizontal="left" vertical="top" wrapText="1"/>
    </xf>
    <xf numFmtId="1" fontId="18" fillId="0" borderId="33" xfId="0" quotePrefix="1" applyNumberFormat="1" applyFont="1" applyBorder="1" applyAlignment="1">
      <alignment horizontal="left" vertical="top" wrapText="1"/>
    </xf>
    <xf numFmtId="166" fontId="16" fillId="0" borderId="33" xfId="0" quotePrefix="1" applyNumberFormat="1" applyFont="1" applyBorder="1" applyAlignment="1">
      <alignment horizontal="left" vertical="top" wrapText="1"/>
    </xf>
    <xf numFmtId="4" fontId="17" fillId="0" borderId="34" xfId="0" applyNumberFormat="1" applyFont="1" applyBorder="1" applyAlignment="1">
      <alignment vertical="top" wrapText="1" shrinkToFit="1"/>
    </xf>
    <xf numFmtId="4" fontId="17" fillId="0" borderId="37" xfId="0" applyNumberFormat="1" applyFont="1" applyBorder="1" applyAlignment="1">
      <alignment vertical="top" wrapText="1" shrinkToFit="1"/>
    </xf>
    <xf numFmtId="0" fontId="16" fillId="0" borderId="26" xfId="0" applyFont="1" applyBorder="1" applyAlignment="1">
      <alignment horizontal="center" vertical="top" shrinkToFit="1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165" fontId="18" fillId="0" borderId="38" xfId="0" quotePrefix="1" applyNumberFormat="1" applyFont="1" applyBorder="1" applyAlignment="1">
      <alignment horizontal="right" vertical="top" wrapText="1"/>
    </xf>
    <xf numFmtId="167" fontId="18" fillId="0" borderId="26" xfId="0" applyNumberFormat="1" applyFont="1" applyBorder="1" applyAlignment="1">
      <alignment horizontal="left" vertical="top" wrapText="1" shrinkToFit="1"/>
    </xf>
    <xf numFmtId="167" fontId="16" fillId="0" borderId="26" xfId="0" applyNumberFormat="1" applyFont="1" applyBorder="1" applyAlignment="1">
      <alignment horizontal="left" vertical="top" wrapText="1" shrinkToFit="1"/>
    </xf>
    <xf numFmtId="164" fontId="16" fillId="0" borderId="26" xfId="0" applyNumberFormat="1" applyFont="1" applyBorder="1" applyAlignment="1">
      <alignment vertical="top" wrapText="1" shrinkToFit="1"/>
    </xf>
    <xf numFmtId="0" fontId="16" fillId="0" borderId="50" xfId="0" applyFont="1" applyBorder="1" applyAlignment="1">
      <alignment horizontal="center" vertical="top" wrapText="1" shrinkToFit="1"/>
    </xf>
    <xf numFmtId="164" fontId="18" fillId="0" borderId="33" xfId="0" applyNumberFormat="1" applyFont="1" applyBorder="1" applyAlignment="1">
      <alignment horizontal="left" vertical="top" wrapText="1" shrinkToFit="1"/>
    </xf>
    <xf numFmtId="0" fontId="16" fillId="0" borderId="10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 wrapText="1"/>
    </xf>
    <xf numFmtId="0" fontId="16" fillId="0" borderId="51" xfId="0" applyFont="1" applyBorder="1" applyAlignment="1">
      <alignment vertical="top"/>
    </xf>
    <xf numFmtId="164" fontId="16" fillId="0" borderId="48" xfId="0" applyNumberFormat="1" applyFont="1" applyBorder="1" applyAlignment="1">
      <alignment vertical="top" shrinkToFit="1"/>
    </xf>
    <xf numFmtId="4" fontId="16" fillId="0" borderId="48" xfId="0" applyNumberFormat="1" applyFont="1" applyBorder="1" applyAlignment="1">
      <alignment vertical="top" shrinkToFit="1"/>
    </xf>
    <xf numFmtId="164" fontId="16" fillId="0" borderId="10" xfId="0" applyNumberFormat="1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0" fontId="0" fillId="3" borderId="48" xfId="0" applyFill="1" applyBorder="1"/>
    <xf numFmtId="49" fontId="0" fillId="3" borderId="48" xfId="0" applyNumberFormat="1" applyFill="1" applyBorder="1"/>
    <xf numFmtId="0" fontId="0" fillId="3" borderId="48" xfId="0" applyFill="1" applyBorder="1" applyAlignment="1">
      <alignment horizontal="center"/>
    </xf>
    <xf numFmtId="0" fontId="0" fillId="3" borderId="51" xfId="0" applyFill="1" applyBorder="1"/>
    <xf numFmtId="0" fontId="0" fillId="3" borderId="48" xfId="0" applyFill="1" applyBorder="1" applyAlignment="1">
      <alignment wrapText="1"/>
    </xf>
    <xf numFmtId="4" fontId="16" fillId="0" borderId="10" xfId="0" applyNumberFormat="1" applyFont="1" applyBorder="1" applyAlignment="1" applyProtection="1">
      <alignment vertical="top" shrinkToFit="1"/>
      <protection locked="0"/>
    </xf>
    <xf numFmtId="1" fontId="18" fillId="0" borderId="38" xfId="0" quotePrefix="1" applyNumberFormat="1" applyFont="1" applyBorder="1" applyAlignment="1">
      <alignment horizontal="left" vertical="top" wrapText="1"/>
    </xf>
    <xf numFmtId="0" fontId="22" fillId="0" borderId="33" xfId="0" applyFont="1" applyBorder="1" applyAlignment="1">
      <alignment horizontal="left" vertical="top" wrapText="1"/>
    </xf>
    <xf numFmtId="0" fontId="22" fillId="0" borderId="33" xfId="0" quotePrefix="1" applyFont="1" applyBorder="1" applyAlignment="1">
      <alignment horizontal="left" vertical="top" wrapText="1"/>
    </xf>
    <xf numFmtId="0" fontId="22" fillId="0" borderId="26" xfId="0" quotePrefix="1" applyFont="1" applyBorder="1" applyAlignment="1">
      <alignment horizontal="left" vertical="top" wrapText="1"/>
    </xf>
    <xf numFmtId="0" fontId="22" fillId="0" borderId="26" xfId="0" applyFont="1" applyBorder="1" applyAlignment="1">
      <alignment horizontal="left" vertical="top" wrapText="1"/>
    </xf>
    <xf numFmtId="0" fontId="16" fillId="0" borderId="51" xfId="0" applyFont="1" applyBorder="1" applyAlignment="1">
      <alignment horizontal="left" vertical="top"/>
    </xf>
    <xf numFmtId="0" fontId="16" fillId="0" borderId="48" xfId="0" applyFont="1" applyBorder="1" applyAlignment="1">
      <alignment horizontal="left" vertical="top" wrapText="1"/>
    </xf>
    <xf numFmtId="0" fontId="16" fillId="0" borderId="48" xfId="0" applyFont="1" applyBorder="1" applyAlignment="1">
      <alignment horizontal="center" vertical="top" shrinkToFit="1"/>
    </xf>
    <xf numFmtId="4" fontId="16" fillId="4" borderId="48" xfId="0" applyNumberFormat="1" applyFont="1" applyFill="1" applyBorder="1" applyAlignment="1" applyProtection="1">
      <alignment vertical="top" shrinkToFit="1"/>
      <protection locked="0"/>
    </xf>
    <xf numFmtId="0" fontId="16" fillId="0" borderId="51" xfId="0" applyFont="1" applyBorder="1" applyAlignment="1">
      <alignment horizontal="left" vertical="top" wrapText="1"/>
    </xf>
    <xf numFmtId="0" fontId="16" fillId="0" borderId="51" xfId="0" applyFont="1" applyBorder="1" applyAlignment="1">
      <alignment horizontal="center" vertical="top" shrinkToFit="1"/>
    </xf>
    <xf numFmtId="164" fontId="16" fillId="0" borderId="51" xfId="0" applyNumberFormat="1" applyFont="1" applyBorder="1" applyAlignment="1">
      <alignment vertical="top" shrinkToFit="1"/>
    </xf>
    <xf numFmtId="4" fontId="16" fillId="4" borderId="51" xfId="0" applyNumberFormat="1" applyFont="1" applyFill="1" applyBorder="1" applyAlignment="1" applyProtection="1">
      <alignment vertical="top" shrinkToFit="1"/>
      <protection locked="0"/>
    </xf>
    <xf numFmtId="0" fontId="17" fillId="0" borderId="38" xfId="0" applyFont="1" applyBorder="1" applyAlignment="1">
      <alignment horizontal="left" vertical="top" wrapText="1"/>
    </xf>
    <xf numFmtId="166" fontId="16" fillId="0" borderId="38" xfId="0" quotePrefix="1" applyNumberFormat="1" applyFont="1" applyBorder="1" applyAlignment="1">
      <alignment horizontal="left" vertical="top" wrapText="1"/>
    </xf>
    <xf numFmtId="164" fontId="16" fillId="0" borderId="38" xfId="0" applyNumberFormat="1" applyFont="1" applyBorder="1" applyAlignment="1">
      <alignment vertical="top" wrapText="1" shrinkToFit="1"/>
    </xf>
    <xf numFmtId="164" fontId="16" fillId="0" borderId="36" xfId="0" applyNumberFormat="1" applyFont="1" applyBorder="1" applyAlignment="1">
      <alignment horizontal="right" vertical="top" wrapText="1"/>
    </xf>
    <xf numFmtId="0" fontId="0" fillId="0" borderId="26" xfId="0" applyBorder="1"/>
    <xf numFmtId="164" fontId="16" fillId="0" borderId="34" xfId="0" applyNumberFormat="1" applyFont="1" applyBorder="1" applyAlignment="1">
      <alignment vertical="top" shrinkToFit="1"/>
    </xf>
    <xf numFmtId="164" fontId="18" fillId="0" borderId="51" xfId="0" applyNumberFormat="1" applyFont="1" applyBorder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166" fontId="18" fillId="0" borderId="10" xfId="0" quotePrefix="1" applyNumberFormat="1" applyFont="1" applyBorder="1" applyAlignment="1">
      <alignment horizontal="left" vertical="top" wrapText="1"/>
    </xf>
    <xf numFmtId="164" fontId="18" fillId="0" borderId="6" xfId="0" applyNumberFormat="1" applyFont="1" applyBorder="1" applyAlignment="1">
      <alignment vertical="top" wrapText="1" shrinkToFit="1"/>
    </xf>
    <xf numFmtId="166" fontId="16" fillId="0" borderId="26" xfId="0" quotePrefix="1" applyNumberFormat="1" applyFont="1" applyBorder="1" applyAlignment="1">
      <alignment horizontal="left" vertical="top" wrapText="1"/>
    </xf>
    <xf numFmtId="1" fontId="18" fillId="0" borderId="26" xfId="0" quotePrefix="1" applyNumberFormat="1" applyFont="1" applyBorder="1" applyAlignment="1">
      <alignment horizontal="left" vertical="top" wrapText="1"/>
    </xf>
    <xf numFmtId="165" fontId="18" fillId="0" borderId="26" xfId="0" quotePrefix="1" applyNumberFormat="1" applyFont="1" applyBorder="1" applyAlignment="1">
      <alignment horizontal="left" vertical="top" wrapText="1"/>
    </xf>
    <xf numFmtId="0" fontId="16" fillId="0" borderId="36" xfId="0" applyFont="1" applyBorder="1" applyAlignment="1">
      <alignment horizontal="center" vertical="top" wrapText="1"/>
    </xf>
    <xf numFmtId="0" fontId="10" fillId="0" borderId="33" xfId="0" applyFont="1" applyBorder="1" applyAlignment="1">
      <alignment horizontal="center" vertical="top" wrapText="1" shrinkToFit="1"/>
    </xf>
    <xf numFmtId="164" fontId="16" fillId="0" borderId="33" xfId="0" applyNumberFormat="1" applyFont="1" applyBorder="1" applyAlignment="1">
      <alignment horizontal="right" vertical="top" wrapText="1" shrinkToFit="1"/>
    </xf>
    <xf numFmtId="0" fontId="18" fillId="0" borderId="10" xfId="0" applyFont="1" applyBorder="1" applyAlignment="1">
      <alignment horizontal="center" vertical="top" wrapText="1" shrinkToFit="1"/>
    </xf>
    <xf numFmtId="164" fontId="16" fillId="0" borderId="26" xfId="0" applyNumberFormat="1" applyFont="1" applyBorder="1" applyAlignment="1">
      <alignment horizontal="right" vertical="top" wrapText="1" shrinkToFi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51" xfId="0" applyNumberFormat="1" applyFont="1" applyBorder="1" applyAlignment="1">
      <alignment vertical="center"/>
    </xf>
    <xf numFmtId="4" fontId="11" fillId="0" borderId="42" xfId="0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left" vertical="center"/>
    </xf>
    <xf numFmtId="49" fontId="6" fillId="3" borderId="19" xfId="0" applyNumberFormat="1" applyFont="1" applyFill="1" applyBorder="1" applyAlignment="1">
      <alignment horizontal="lef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339966"/>
      <color rgb="FF008000"/>
      <color rgb="FF009900"/>
      <color rgb="FF006666"/>
      <color rgb="FF339933"/>
      <color rgb="FF0066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0\userdata$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258" t="s">
        <v>39</v>
      </c>
      <c r="B2" s="258"/>
      <c r="C2" s="258"/>
      <c r="D2" s="258"/>
      <c r="E2" s="258"/>
      <c r="F2" s="258"/>
      <c r="G2" s="25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283" t="s">
        <v>42</v>
      </c>
      <c r="C1" s="284"/>
      <c r="D1" s="284"/>
      <c r="E1" s="284"/>
      <c r="F1" s="284"/>
      <c r="G1" s="284"/>
      <c r="H1" s="284"/>
      <c r="I1" s="284"/>
      <c r="J1" s="285"/>
    </row>
    <row r="2" spans="1:15" ht="23.25" customHeight="1" x14ac:dyDescent="0.2">
      <c r="A2" s="3"/>
      <c r="B2" s="71" t="s">
        <v>40</v>
      </c>
      <c r="C2" s="72"/>
      <c r="D2" s="295" t="s">
        <v>246</v>
      </c>
      <c r="E2" s="295"/>
      <c r="F2" s="295"/>
      <c r="G2" s="295"/>
      <c r="H2" s="295"/>
      <c r="I2" s="295"/>
      <c r="J2" s="296"/>
      <c r="O2" s="1"/>
    </row>
    <row r="3" spans="1:15" ht="23.25" hidden="1" customHeight="1" x14ac:dyDescent="0.2">
      <c r="A3" s="3"/>
      <c r="B3" s="73" t="s">
        <v>43</v>
      </c>
      <c r="C3" s="72"/>
      <c r="D3" s="74"/>
      <c r="E3" s="74"/>
      <c r="F3" s="75"/>
      <c r="G3" s="75"/>
      <c r="H3" s="72"/>
      <c r="I3" s="76"/>
      <c r="J3" s="77"/>
    </row>
    <row r="4" spans="1:15" ht="23.25" hidden="1" customHeight="1" x14ac:dyDescent="0.2">
      <c r="A4" s="3"/>
      <c r="B4" s="78" t="s">
        <v>44</v>
      </c>
      <c r="C4" s="79"/>
      <c r="D4" s="80"/>
      <c r="E4" s="80"/>
      <c r="F4" s="81"/>
      <c r="G4" s="81"/>
      <c r="H4" s="81"/>
      <c r="I4" s="81"/>
      <c r="J4" s="82"/>
    </row>
    <row r="5" spans="1:15" ht="24" customHeight="1" x14ac:dyDescent="0.2">
      <c r="A5" s="3"/>
      <c r="B5" s="40" t="s">
        <v>21</v>
      </c>
      <c r="D5" s="83" t="s">
        <v>86</v>
      </c>
      <c r="E5" s="23"/>
      <c r="F5" s="23"/>
      <c r="G5" s="23"/>
      <c r="H5" s="25" t="s">
        <v>33</v>
      </c>
      <c r="I5" s="83" t="s">
        <v>87</v>
      </c>
      <c r="J5" s="9"/>
    </row>
    <row r="6" spans="1:15" ht="15.75" customHeight="1" x14ac:dyDescent="0.2">
      <c r="A6" s="3"/>
      <c r="B6" s="35"/>
      <c r="C6" s="23"/>
      <c r="D6" s="83" t="s">
        <v>88</v>
      </c>
      <c r="E6" s="23"/>
      <c r="F6" s="23"/>
      <c r="G6" s="23"/>
      <c r="H6" s="25" t="s">
        <v>34</v>
      </c>
      <c r="I6" s="83" t="s">
        <v>89</v>
      </c>
      <c r="J6" s="9"/>
    </row>
    <row r="7" spans="1:15" ht="15.75" customHeight="1" x14ac:dyDescent="0.2">
      <c r="A7" s="3"/>
      <c r="B7" s="36"/>
      <c r="C7" s="84"/>
      <c r="D7" s="70" t="s">
        <v>90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90"/>
      <c r="E11" s="290"/>
      <c r="F11" s="290"/>
      <c r="G11" s="290"/>
      <c r="H11" s="25" t="s">
        <v>33</v>
      </c>
      <c r="I11" s="86"/>
      <c r="J11" s="9"/>
    </row>
    <row r="12" spans="1:15" ht="15.75" customHeight="1" x14ac:dyDescent="0.2">
      <c r="A12" s="3"/>
      <c r="B12" s="35"/>
      <c r="C12" s="23"/>
      <c r="D12" s="293"/>
      <c r="E12" s="293"/>
      <c r="F12" s="293"/>
      <c r="G12" s="293"/>
      <c r="H12" s="25" t="s">
        <v>34</v>
      </c>
      <c r="I12" s="86"/>
      <c r="J12" s="9"/>
    </row>
    <row r="13" spans="1:15" ht="15.75" customHeight="1" x14ac:dyDescent="0.2">
      <c r="A13" s="3"/>
      <c r="B13" s="36"/>
      <c r="C13" s="85"/>
      <c r="D13" s="294"/>
      <c r="E13" s="294"/>
      <c r="F13" s="294"/>
      <c r="G13" s="294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89"/>
      <c r="F15" s="289"/>
      <c r="G15" s="291"/>
      <c r="H15" s="291"/>
      <c r="I15" s="291" t="s">
        <v>28</v>
      </c>
      <c r="J15" s="292"/>
    </row>
    <row r="16" spans="1:15" ht="23.25" customHeight="1" x14ac:dyDescent="0.2">
      <c r="A16" s="126" t="s">
        <v>23</v>
      </c>
      <c r="B16" s="127" t="s">
        <v>23</v>
      </c>
      <c r="C16" s="48"/>
      <c r="D16" s="49"/>
      <c r="E16" s="275"/>
      <c r="F16" s="276"/>
      <c r="G16" s="275"/>
      <c r="H16" s="276"/>
      <c r="I16" s="275">
        <f>SUMIF(F47:F49,A16,I47:I49)+SUMIF(F47:F49,"PSU",I47:I49)</f>
        <v>0</v>
      </c>
      <c r="J16" s="277"/>
    </row>
    <row r="17" spans="1:10" ht="23.25" customHeight="1" x14ac:dyDescent="0.2">
      <c r="A17" s="126" t="s">
        <v>24</v>
      </c>
      <c r="B17" s="127" t="s">
        <v>24</v>
      </c>
      <c r="C17" s="48"/>
      <c r="D17" s="49"/>
      <c r="E17" s="275"/>
      <c r="F17" s="276"/>
      <c r="G17" s="275"/>
      <c r="H17" s="276"/>
      <c r="I17" s="275">
        <f>SUMIF(F47:F49,A17,I47:I49)</f>
        <v>0</v>
      </c>
      <c r="J17" s="277"/>
    </row>
    <row r="18" spans="1:10" ht="23.25" customHeight="1" x14ac:dyDescent="0.2">
      <c r="A18" s="126" t="s">
        <v>25</v>
      </c>
      <c r="B18" s="127" t="s">
        <v>25</v>
      </c>
      <c r="C18" s="48"/>
      <c r="D18" s="49"/>
      <c r="E18" s="275"/>
      <c r="F18" s="276"/>
      <c r="G18" s="275"/>
      <c r="H18" s="276"/>
      <c r="I18" s="275">
        <f>SUMIF(F47:F49,A18,I47:I49)</f>
        <v>0</v>
      </c>
      <c r="J18" s="277"/>
    </row>
    <row r="19" spans="1:10" ht="23.25" customHeight="1" x14ac:dyDescent="0.2">
      <c r="A19" s="126" t="s">
        <v>51</v>
      </c>
      <c r="B19" s="127" t="s">
        <v>26</v>
      </c>
      <c r="C19" s="48"/>
      <c r="D19" s="49"/>
      <c r="E19" s="275"/>
      <c r="F19" s="276"/>
      <c r="G19" s="275"/>
      <c r="H19" s="276"/>
      <c r="I19" s="275">
        <f>SUMIF(F47:F49,A19,I47:I49)</f>
        <v>0</v>
      </c>
      <c r="J19" s="277"/>
    </row>
    <row r="20" spans="1:10" ht="23.25" customHeight="1" x14ac:dyDescent="0.2">
      <c r="A20" s="126" t="s">
        <v>52</v>
      </c>
      <c r="B20" s="127" t="s">
        <v>27</v>
      </c>
      <c r="C20" s="48"/>
      <c r="D20" s="49"/>
      <c r="E20" s="275"/>
      <c r="F20" s="276"/>
      <c r="G20" s="275"/>
      <c r="H20" s="276"/>
      <c r="I20" s="275">
        <f>SUMIF(F47:F49,A20,I47:I49)</f>
        <v>0</v>
      </c>
      <c r="J20" s="277"/>
    </row>
    <row r="21" spans="1:10" ht="23.25" customHeight="1" x14ac:dyDescent="0.2">
      <c r="A21" s="3"/>
      <c r="B21" s="64" t="s">
        <v>28</v>
      </c>
      <c r="C21" s="65"/>
      <c r="D21" s="66"/>
      <c r="E21" s="278"/>
      <c r="F21" s="297"/>
      <c r="G21" s="278"/>
      <c r="H21" s="297"/>
      <c r="I21" s="278">
        <f>SUM(I16:J20)</f>
        <v>0</v>
      </c>
      <c r="J21" s="279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73">
        <f>ZakladDPHSniVypocet</f>
        <v>0</v>
      </c>
      <c r="H23" s="274"/>
      <c r="I23" s="274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71">
        <f>ZakladDPHSni*SazbaDPH1/100</f>
        <v>0</v>
      </c>
      <c r="H24" s="272"/>
      <c r="I24" s="272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81">
        <f>I21</f>
        <v>0</v>
      </c>
      <c r="H25" s="282"/>
      <c r="I25" s="282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86">
        <f>ZakladDPHZakl*SazbaDPH2/100</f>
        <v>0</v>
      </c>
      <c r="H26" s="287"/>
      <c r="I26" s="287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88">
        <f>0</f>
        <v>0</v>
      </c>
      <c r="H27" s="288"/>
      <c r="I27" s="288"/>
      <c r="J27" s="53" t="str">
        <f t="shared" si="0"/>
        <v>CZK</v>
      </c>
    </row>
    <row r="28" spans="1:10" ht="27.75" hidden="1" customHeight="1" thickBot="1" x14ac:dyDescent="0.25">
      <c r="A28" s="3"/>
      <c r="B28" s="105" t="s">
        <v>22</v>
      </c>
      <c r="C28" s="106"/>
      <c r="D28" s="106"/>
      <c r="E28" s="107"/>
      <c r="F28" s="108"/>
      <c r="G28" s="298">
        <f>ZakladDPHSniVypocet+ZakladDPHZaklVypocet</f>
        <v>0</v>
      </c>
      <c r="H28" s="298"/>
      <c r="I28" s="298"/>
      <c r="J28" s="109" t="str">
        <f t="shared" si="0"/>
        <v>CZK</v>
      </c>
    </row>
    <row r="29" spans="1:10" ht="27.75" customHeight="1" thickBot="1" x14ac:dyDescent="0.25">
      <c r="A29" s="3"/>
      <c r="B29" s="105" t="s">
        <v>35</v>
      </c>
      <c r="C29" s="110"/>
      <c r="D29" s="110"/>
      <c r="E29" s="110"/>
      <c r="F29" s="110"/>
      <c r="G29" s="280">
        <f>ZakladDPHSni+DPHSni+ZakladDPHZakl+DPHZakl+Zaokrouhleni</f>
        <v>0</v>
      </c>
      <c r="H29" s="280"/>
      <c r="I29" s="280"/>
      <c r="J29" s="111" t="s">
        <v>46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45065</v>
      </c>
      <c r="I32" s="33"/>
      <c r="J32" s="10"/>
    </row>
    <row r="33" spans="1:11" ht="47.25" customHeight="1" x14ac:dyDescent="0.2">
      <c r="A33" s="3"/>
      <c r="B33" s="3"/>
      <c r="J33" s="10"/>
    </row>
    <row r="34" spans="1:11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1" ht="12.75" customHeight="1" x14ac:dyDescent="0.2">
      <c r="A35" s="3"/>
      <c r="B35" s="3"/>
      <c r="D35" s="270" t="s">
        <v>2</v>
      </c>
      <c r="E35" s="270"/>
      <c r="H35" s="11" t="s">
        <v>3</v>
      </c>
      <c r="J35" s="10"/>
    </row>
    <row r="36" spans="1:11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1" ht="27" hidden="1" customHeight="1" x14ac:dyDescent="0.25">
      <c r="B37" s="67" t="s">
        <v>15</v>
      </c>
      <c r="C37" s="2"/>
      <c r="D37" s="2"/>
      <c r="E37" s="2"/>
      <c r="F37" s="97"/>
      <c r="G37" s="97"/>
      <c r="H37" s="97"/>
      <c r="I37" s="97"/>
      <c r="J37" s="2"/>
    </row>
    <row r="38" spans="1:11" ht="25.5" hidden="1" customHeight="1" x14ac:dyDescent="0.2">
      <c r="A38" s="89" t="s">
        <v>37</v>
      </c>
      <c r="B38" s="91" t="s">
        <v>16</v>
      </c>
      <c r="C38" s="92" t="s">
        <v>5</v>
      </c>
      <c r="D38" s="93"/>
      <c r="E38" s="93"/>
      <c r="F38" s="98" t="str">
        <f>B23</f>
        <v>Základ pro sníženou DPH</v>
      </c>
      <c r="G38" s="98" t="str">
        <f>B25</f>
        <v>Základ pro základní DPH</v>
      </c>
      <c r="H38" s="99" t="s">
        <v>17</v>
      </c>
      <c r="I38" s="99" t="s">
        <v>1</v>
      </c>
      <c r="J38" s="94" t="s">
        <v>0</v>
      </c>
    </row>
    <row r="39" spans="1:11" ht="25.5" hidden="1" customHeight="1" x14ac:dyDescent="0.2">
      <c r="A39" s="89">
        <v>1</v>
      </c>
      <c r="B39" s="95"/>
      <c r="C39" s="263"/>
      <c r="D39" s="264"/>
      <c r="E39" s="264"/>
      <c r="F39" s="100">
        <f>' Pol'!AC177</f>
        <v>0</v>
      </c>
      <c r="G39" s="101">
        <f>' Pol'!AD177</f>
        <v>0</v>
      </c>
      <c r="H39" s="102">
        <f>(F39*SazbaDPH1/100)+(G39*SazbaDPH2/100)</f>
        <v>0</v>
      </c>
      <c r="I39" s="102">
        <f>F39+G39+H39</f>
        <v>0</v>
      </c>
      <c r="J39" s="96" t="str">
        <f>IF(CenaCelkemVypocet=0,"",I39/CenaCelkemVypocet*100)</f>
        <v/>
      </c>
    </row>
    <row r="40" spans="1:11" ht="25.5" hidden="1" customHeight="1" x14ac:dyDescent="0.2">
      <c r="A40" s="89"/>
      <c r="B40" s="265" t="s">
        <v>45</v>
      </c>
      <c r="C40" s="266"/>
      <c r="D40" s="266"/>
      <c r="E40" s="267"/>
      <c r="F40" s="103">
        <f>SUMIF(A39:A39,"=1",F39:F39)</f>
        <v>0</v>
      </c>
      <c r="G40" s="104">
        <f>SUMIF(A39:A39,"=1",G39:G39)</f>
        <v>0</v>
      </c>
      <c r="H40" s="104">
        <f>SUMIF(A39:A39,"=1",H39:H39)</f>
        <v>0</v>
      </c>
      <c r="I40" s="104">
        <f>SUMIF(A39:A39,"=1",I39:I39)</f>
        <v>0</v>
      </c>
      <c r="J40" s="90">
        <f>SUMIF(A39:A39,"=1",J39:J39)</f>
        <v>0</v>
      </c>
    </row>
    <row r="44" spans="1:11" ht="15.75" x14ac:dyDescent="0.25">
      <c r="B44" s="112" t="s">
        <v>47</v>
      </c>
    </row>
    <row r="46" spans="1:11" ht="25.5" customHeight="1" x14ac:dyDescent="0.2">
      <c r="A46" s="113"/>
      <c r="B46" s="117" t="s">
        <v>16</v>
      </c>
      <c r="C46" s="117" t="s">
        <v>5</v>
      </c>
      <c r="D46" s="118"/>
      <c r="E46" s="118"/>
      <c r="F46" s="121" t="s">
        <v>48</v>
      </c>
      <c r="G46" s="121"/>
      <c r="H46" s="121"/>
      <c r="I46" s="268" t="s">
        <v>28</v>
      </c>
      <c r="J46" s="268"/>
    </row>
    <row r="47" spans="1:11" ht="25.5" customHeight="1" x14ac:dyDescent="0.2">
      <c r="A47" s="114"/>
      <c r="B47" s="116" t="s">
        <v>111</v>
      </c>
      <c r="C47" s="261" t="s">
        <v>105</v>
      </c>
      <c r="D47" s="262"/>
      <c r="E47" s="269"/>
      <c r="F47" s="122" t="s">
        <v>23</v>
      </c>
      <c r="G47" s="123"/>
      <c r="H47" s="123"/>
      <c r="I47" s="260">
        <f>' Pol'!G8</f>
        <v>0</v>
      </c>
      <c r="J47" s="260"/>
      <c r="K47" s="244"/>
    </row>
    <row r="48" spans="1:11" ht="25.5" customHeight="1" x14ac:dyDescent="0.2">
      <c r="A48" s="114"/>
      <c r="B48" s="116" t="s">
        <v>49</v>
      </c>
      <c r="C48" s="261" t="s">
        <v>50</v>
      </c>
      <c r="D48" s="262"/>
      <c r="E48" s="262"/>
      <c r="F48" s="122" t="s">
        <v>24</v>
      </c>
      <c r="G48" s="123"/>
      <c r="H48" s="123"/>
      <c r="I48" s="260">
        <f>' Pol'!G14</f>
        <v>0</v>
      </c>
      <c r="J48" s="260"/>
    </row>
    <row r="49" spans="1:11" ht="25.5" customHeight="1" x14ac:dyDescent="0.2">
      <c r="A49" s="114"/>
      <c r="B49" s="116" t="s">
        <v>112</v>
      </c>
      <c r="C49" s="261" t="s">
        <v>101</v>
      </c>
      <c r="D49" s="262"/>
      <c r="E49" s="262"/>
      <c r="F49" s="122" t="s">
        <v>24</v>
      </c>
      <c r="G49" s="123"/>
      <c r="H49" s="123"/>
      <c r="I49" s="260">
        <f>' Pol'!G156</f>
        <v>0</v>
      </c>
      <c r="J49" s="260"/>
      <c r="K49" s="244"/>
    </row>
    <row r="50" spans="1:11" ht="25.5" customHeight="1" x14ac:dyDescent="0.2">
      <c r="A50" s="115"/>
      <c r="B50" s="119" t="s">
        <v>1</v>
      </c>
      <c r="C50" s="119"/>
      <c r="D50" s="120"/>
      <c r="E50" s="120"/>
      <c r="F50" s="124"/>
      <c r="G50" s="125"/>
      <c r="H50" s="125"/>
      <c r="I50" s="259">
        <f>SUM(I47:I49)</f>
        <v>0</v>
      </c>
      <c r="J50" s="259"/>
    </row>
    <row r="51" spans="1:11" x14ac:dyDescent="0.2">
      <c r="F51" s="88"/>
      <c r="G51" s="88"/>
      <c r="H51" s="88"/>
      <c r="I51" s="88"/>
      <c r="J51" s="88"/>
    </row>
    <row r="52" spans="1:11" x14ac:dyDescent="0.2">
      <c r="F52" s="88"/>
      <c r="G52" s="88"/>
      <c r="H52" s="88"/>
      <c r="I52" s="88"/>
      <c r="J52" s="88"/>
    </row>
    <row r="53" spans="1:11" x14ac:dyDescent="0.2">
      <c r="F53" s="88"/>
      <c r="G53" s="88"/>
      <c r="H53" s="88"/>
      <c r="I53" s="88"/>
      <c r="J53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16:J16"/>
    <mergeCell ref="I19:J19"/>
    <mergeCell ref="E21:F21"/>
    <mergeCell ref="G21:H21"/>
    <mergeCell ref="G28:I28"/>
    <mergeCell ref="E16:F16"/>
    <mergeCell ref="G19:H19"/>
    <mergeCell ref="G20:H20"/>
    <mergeCell ref="E18:F18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D2:J2"/>
    <mergeCell ref="E17:F17"/>
    <mergeCell ref="G16:H16"/>
    <mergeCell ref="G17:H17"/>
    <mergeCell ref="G18:H18"/>
    <mergeCell ref="I17:J17"/>
    <mergeCell ref="I18:J18"/>
    <mergeCell ref="D35:E35"/>
    <mergeCell ref="G24:I24"/>
    <mergeCell ref="G23:I23"/>
    <mergeCell ref="E19:F19"/>
    <mergeCell ref="E20:F20"/>
    <mergeCell ref="I20:J20"/>
    <mergeCell ref="I21:J21"/>
    <mergeCell ref="G29:I29"/>
    <mergeCell ref="G25:I25"/>
    <mergeCell ref="C39:E39"/>
    <mergeCell ref="B40:E40"/>
    <mergeCell ref="I46:J46"/>
    <mergeCell ref="C47:E47"/>
    <mergeCell ref="I47:J47"/>
    <mergeCell ref="I50:J50"/>
    <mergeCell ref="I48:J48"/>
    <mergeCell ref="C48:E48"/>
    <mergeCell ref="C49:E49"/>
    <mergeCell ref="I49:J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99" t="s">
        <v>6</v>
      </c>
      <c r="B1" s="299"/>
      <c r="C1" s="300"/>
      <c r="D1" s="299"/>
      <c r="E1" s="299"/>
      <c r="F1" s="299"/>
      <c r="G1" s="299"/>
    </row>
    <row r="2" spans="1:7" ht="24.95" customHeight="1" x14ac:dyDescent="0.2">
      <c r="A2" s="69" t="s">
        <v>41</v>
      </c>
      <c r="B2" s="68"/>
      <c r="C2" s="301"/>
      <c r="D2" s="301"/>
      <c r="E2" s="301"/>
      <c r="F2" s="301"/>
      <c r="G2" s="302"/>
    </row>
    <row r="3" spans="1:7" ht="24.95" hidden="1" customHeight="1" x14ac:dyDescent="0.2">
      <c r="A3" s="69" t="s">
        <v>7</v>
      </c>
      <c r="B3" s="68"/>
      <c r="C3" s="301"/>
      <c r="D3" s="301"/>
      <c r="E3" s="301"/>
      <c r="F3" s="301"/>
      <c r="G3" s="302"/>
    </row>
    <row r="4" spans="1:7" ht="24.95" hidden="1" customHeight="1" x14ac:dyDescent="0.2">
      <c r="A4" s="69" t="s">
        <v>8</v>
      </c>
      <c r="B4" s="68"/>
      <c r="C4" s="301"/>
      <c r="D4" s="301"/>
      <c r="E4" s="301"/>
      <c r="F4" s="301"/>
      <c r="G4" s="302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113"/>
  <sheetViews>
    <sheetView tabSelected="1"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38.28515625" style="87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54</v>
      </c>
    </row>
    <row r="2" spans="1:60" ht="25.15" customHeight="1" x14ac:dyDescent="0.2">
      <c r="A2" s="130" t="s">
        <v>53</v>
      </c>
      <c r="B2" s="128"/>
      <c r="C2" s="304" t="s">
        <v>246</v>
      </c>
      <c r="D2" s="305"/>
      <c r="E2" s="305"/>
      <c r="F2" s="305"/>
      <c r="G2" s="306"/>
      <c r="AE2" t="s">
        <v>55</v>
      </c>
    </row>
    <row r="3" spans="1:60" ht="25.15" hidden="1" customHeight="1" x14ac:dyDescent="0.2">
      <c r="A3" s="131" t="s">
        <v>7</v>
      </c>
      <c r="B3" s="129"/>
      <c r="C3" s="307"/>
      <c r="D3" s="307"/>
      <c r="E3" s="307"/>
      <c r="F3" s="307"/>
      <c r="G3" s="308"/>
      <c r="AE3" t="s">
        <v>56</v>
      </c>
    </row>
    <row r="4" spans="1:60" ht="25.15" hidden="1" customHeight="1" x14ac:dyDescent="0.2">
      <c r="A4" s="131" t="s">
        <v>8</v>
      </c>
      <c r="B4" s="129"/>
      <c r="C4" s="309"/>
      <c r="D4" s="307"/>
      <c r="E4" s="307"/>
      <c r="F4" s="307"/>
      <c r="G4" s="308"/>
      <c r="AE4" t="s">
        <v>57</v>
      </c>
    </row>
    <row r="5" spans="1:60" hidden="1" x14ac:dyDescent="0.2">
      <c r="A5" s="132" t="s">
        <v>58</v>
      </c>
      <c r="B5" s="133"/>
      <c r="C5" s="133"/>
      <c r="D5" s="134"/>
      <c r="E5" s="135"/>
      <c r="F5" s="135"/>
      <c r="G5" s="136"/>
      <c r="AE5" t="s">
        <v>59</v>
      </c>
    </row>
    <row r="6" spans="1:60" x14ac:dyDescent="0.2">
      <c r="D6" s="11"/>
    </row>
    <row r="7" spans="1:60" ht="38.25" x14ac:dyDescent="0.2">
      <c r="A7" s="221" t="s">
        <v>60</v>
      </c>
      <c r="B7" s="222" t="s">
        <v>61</v>
      </c>
      <c r="C7" s="222" t="s">
        <v>62</v>
      </c>
      <c r="D7" s="223" t="s">
        <v>63</v>
      </c>
      <c r="E7" s="221" t="s">
        <v>64</v>
      </c>
      <c r="F7" s="224" t="s">
        <v>65</v>
      </c>
      <c r="G7" s="221" t="s">
        <v>28</v>
      </c>
      <c r="H7" s="225" t="s">
        <v>29</v>
      </c>
      <c r="I7" s="225" t="s">
        <v>66</v>
      </c>
      <c r="J7" s="225" t="s">
        <v>30</v>
      </c>
      <c r="K7" s="225" t="s">
        <v>67</v>
      </c>
      <c r="L7" s="225" t="s">
        <v>68</v>
      </c>
      <c r="M7" s="225" t="s">
        <v>69</v>
      </c>
      <c r="N7" s="225" t="s">
        <v>70</v>
      </c>
      <c r="O7" s="225" t="s">
        <v>71</v>
      </c>
      <c r="P7" s="225" t="s">
        <v>72</v>
      </c>
      <c r="Q7" s="225" t="s">
        <v>73</v>
      </c>
      <c r="R7" s="153" t="s">
        <v>74</v>
      </c>
      <c r="S7" s="153" t="s">
        <v>75</v>
      </c>
      <c r="T7" s="153" t="s">
        <v>76</v>
      </c>
      <c r="U7" s="141" t="s">
        <v>77</v>
      </c>
    </row>
    <row r="8" spans="1:60" x14ac:dyDescent="0.2">
      <c r="A8" s="139" t="s">
        <v>78</v>
      </c>
      <c r="B8" s="192">
        <v>997</v>
      </c>
      <c r="C8" s="161" t="s">
        <v>105</v>
      </c>
      <c r="D8" s="144"/>
      <c r="E8" s="147"/>
      <c r="F8" s="151"/>
      <c r="G8" s="151">
        <f>SUMIF(AE9:AE13,"&lt;&gt;NOR",G9:G13)</f>
        <v>0</v>
      </c>
      <c r="H8" s="151"/>
      <c r="I8" s="151">
        <f>SUM(I9:I13)</f>
        <v>0</v>
      </c>
      <c r="J8" s="151"/>
      <c r="K8" s="151">
        <f>SUM(K9:K13)</f>
        <v>0</v>
      </c>
      <c r="L8" s="151"/>
      <c r="M8" s="151">
        <f>SUM(M9:M13)</f>
        <v>0</v>
      </c>
      <c r="N8" s="151"/>
      <c r="O8" s="147">
        <f>SUM(O9:O13)</f>
        <v>0</v>
      </c>
      <c r="P8" s="151"/>
      <c r="Q8" s="147">
        <f>SUM(Q9:Q13)</f>
        <v>0</v>
      </c>
      <c r="R8" s="151"/>
      <c r="S8" s="151"/>
      <c r="T8" s="152"/>
      <c r="U8" s="151">
        <f>SUM(U9:U13)</f>
        <v>2.62</v>
      </c>
      <c r="AE8" t="s">
        <v>79</v>
      </c>
    </row>
    <row r="9" spans="1:60" ht="33.75" outlineLevel="1" x14ac:dyDescent="0.2">
      <c r="A9" s="216">
        <v>1</v>
      </c>
      <c r="B9" s="232">
        <v>997013214</v>
      </c>
      <c r="C9" s="233" t="s">
        <v>106</v>
      </c>
      <c r="D9" s="234" t="s">
        <v>82</v>
      </c>
      <c r="E9" s="217">
        <v>1.304</v>
      </c>
      <c r="F9" s="235"/>
      <c r="G9" s="218">
        <f>ROUND(E9*F9,2)</f>
        <v>0</v>
      </c>
      <c r="H9" s="235"/>
      <c r="I9" s="218">
        <f>ROUND(E9*H9,2)</f>
        <v>0</v>
      </c>
      <c r="J9" s="235"/>
      <c r="K9" s="218">
        <f>ROUND(E9*J9,2)</f>
        <v>0</v>
      </c>
      <c r="L9" s="218">
        <v>21</v>
      </c>
      <c r="M9" s="218">
        <f>G9*(1+L9/100)</f>
        <v>0</v>
      </c>
      <c r="N9" s="217">
        <v>0</v>
      </c>
      <c r="O9" s="217">
        <f>ROUND(E9*N9,2)</f>
        <v>0</v>
      </c>
      <c r="P9" s="217">
        <v>0</v>
      </c>
      <c r="Q9" s="217">
        <f>ROUND(E9*P9,2)</f>
        <v>0</v>
      </c>
      <c r="R9" s="149"/>
      <c r="S9" s="149"/>
      <c r="T9" s="150">
        <v>2.0089999999999999</v>
      </c>
      <c r="U9" s="149">
        <f>ROUND(E9*T9,2)</f>
        <v>2.62</v>
      </c>
      <c r="V9" s="137"/>
      <c r="W9" s="137"/>
      <c r="X9" s="137"/>
      <c r="Y9" s="137"/>
      <c r="Z9" s="137"/>
      <c r="AA9" s="137"/>
      <c r="AB9" s="137"/>
      <c r="AC9" s="137"/>
      <c r="AD9" s="137"/>
      <c r="AE9" s="137" t="s">
        <v>81</v>
      </c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ht="22.5" outlineLevel="1" x14ac:dyDescent="0.2">
      <c r="A10" s="216">
        <v>2</v>
      </c>
      <c r="B10" s="232">
        <v>997013501</v>
      </c>
      <c r="C10" s="236" t="s">
        <v>107</v>
      </c>
      <c r="D10" s="237" t="s">
        <v>82</v>
      </c>
      <c r="E10" s="238">
        <v>1.304</v>
      </c>
      <c r="F10" s="239"/>
      <c r="G10" s="149">
        <f>ROUND(E10*F10,2)</f>
        <v>0</v>
      </c>
      <c r="H10" s="235"/>
      <c r="I10" s="218"/>
      <c r="J10" s="235"/>
      <c r="K10" s="218"/>
      <c r="L10" s="218"/>
      <c r="M10" s="218"/>
      <c r="N10" s="217">
        <v>0</v>
      </c>
      <c r="O10" s="217">
        <f t="shared" ref="O10:O11" si="0">ROUND(E10*N10,2)</f>
        <v>0</v>
      </c>
      <c r="P10" s="217">
        <v>0</v>
      </c>
      <c r="Q10" s="217">
        <f t="shared" ref="Q10:Q11" si="1">ROUND(E10*P10,2)</f>
        <v>0</v>
      </c>
      <c r="R10" s="149"/>
      <c r="S10" s="149"/>
      <c r="T10" s="150"/>
      <c r="U10" s="149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</row>
    <row r="11" spans="1:60" ht="25.5" customHeight="1" outlineLevel="1" x14ac:dyDescent="0.2">
      <c r="A11" s="138">
        <v>3</v>
      </c>
      <c r="B11" s="167">
        <v>997013509</v>
      </c>
      <c r="C11" s="183" t="s">
        <v>108</v>
      </c>
      <c r="D11" s="253" t="s">
        <v>82</v>
      </c>
      <c r="E11" s="243">
        <f>E12</f>
        <v>15.648</v>
      </c>
      <c r="F11" s="148"/>
      <c r="G11" s="149">
        <f>ROUND(E11*F11,2)</f>
        <v>0</v>
      </c>
      <c r="H11" s="149"/>
      <c r="I11" s="149"/>
      <c r="J11" s="149"/>
      <c r="K11" s="149"/>
      <c r="L11" s="149"/>
      <c r="M11" s="149"/>
      <c r="N11" s="145">
        <v>0</v>
      </c>
      <c r="O11" s="145">
        <f t="shared" si="0"/>
        <v>0</v>
      </c>
      <c r="P11" s="145">
        <v>0</v>
      </c>
      <c r="Q11" s="145">
        <f t="shared" si="1"/>
        <v>0</v>
      </c>
      <c r="R11" s="149"/>
      <c r="S11" s="149"/>
      <c r="T11" s="150"/>
      <c r="U11" s="149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40"/>
      <c r="BB11" s="137"/>
      <c r="BC11" s="137"/>
      <c r="BD11" s="137"/>
      <c r="BE11" s="137"/>
      <c r="BF11" s="137"/>
      <c r="BG11" s="137"/>
      <c r="BH11" s="137"/>
    </row>
    <row r="12" spans="1:60" ht="12.75" customHeight="1" outlineLevel="1" x14ac:dyDescent="0.2">
      <c r="A12" s="166"/>
      <c r="B12" s="214"/>
      <c r="C12" s="182" t="s">
        <v>176</v>
      </c>
      <c r="D12" s="215"/>
      <c r="E12" s="197">
        <f>1.304*12</f>
        <v>15.648</v>
      </c>
      <c r="F12" s="226"/>
      <c r="G12" s="240"/>
      <c r="H12" s="154"/>
      <c r="I12" s="154"/>
      <c r="J12" s="154"/>
      <c r="K12" s="154"/>
      <c r="L12" s="154"/>
      <c r="M12" s="154"/>
      <c r="N12" s="169"/>
      <c r="O12" s="169"/>
      <c r="P12" s="169"/>
      <c r="Q12" s="169"/>
      <c r="R12" s="149"/>
      <c r="S12" s="149"/>
      <c r="T12" s="150"/>
      <c r="U12" s="149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40"/>
      <c r="BB12" s="137"/>
      <c r="BC12" s="137"/>
      <c r="BD12" s="137"/>
      <c r="BE12" s="137"/>
      <c r="BF12" s="137"/>
      <c r="BG12" s="137"/>
      <c r="BH12" s="137"/>
    </row>
    <row r="13" spans="1:60" ht="22.5" outlineLevel="1" x14ac:dyDescent="0.2">
      <c r="A13" s="216">
        <v>4</v>
      </c>
      <c r="B13" s="232">
        <v>997013811</v>
      </c>
      <c r="C13" s="233" t="s">
        <v>110</v>
      </c>
      <c r="D13" s="234" t="s">
        <v>82</v>
      </c>
      <c r="E13" s="217">
        <v>1.304</v>
      </c>
      <c r="F13" s="235"/>
      <c r="G13" s="218">
        <f>ROUND(E13*F13,2)</f>
        <v>0</v>
      </c>
      <c r="H13" s="235"/>
      <c r="I13" s="218">
        <f>ROUND(E13*H13,2)</f>
        <v>0</v>
      </c>
      <c r="J13" s="235"/>
      <c r="K13" s="218">
        <f>ROUND(E13*J13,2)</f>
        <v>0</v>
      </c>
      <c r="L13" s="218">
        <v>21</v>
      </c>
      <c r="M13" s="218">
        <f>G13*(1+L13/100)</f>
        <v>0</v>
      </c>
      <c r="N13" s="217">
        <v>0</v>
      </c>
      <c r="O13" s="217">
        <f>ROUND(E13*N13,2)</f>
        <v>0</v>
      </c>
      <c r="P13" s="217">
        <v>0</v>
      </c>
      <c r="Q13" s="217">
        <f>ROUND(E13*P13,2)</f>
        <v>0</v>
      </c>
      <c r="R13" s="149"/>
      <c r="S13" s="149"/>
      <c r="T13" s="150">
        <v>0</v>
      </c>
      <c r="U13" s="149">
        <f>ROUND(E13*T13,2)</f>
        <v>0</v>
      </c>
      <c r="V13" s="137"/>
      <c r="W13" s="137"/>
      <c r="X13" s="137"/>
      <c r="Y13" s="137"/>
      <c r="Z13" s="137"/>
      <c r="AA13" s="137"/>
      <c r="AB13" s="137"/>
      <c r="AC13" s="137"/>
      <c r="AD13" s="137"/>
      <c r="AE13" s="137" t="s">
        <v>81</v>
      </c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</row>
    <row r="14" spans="1:60" x14ac:dyDescent="0.2">
      <c r="A14" s="139" t="s">
        <v>78</v>
      </c>
      <c r="B14" s="139" t="s">
        <v>49</v>
      </c>
      <c r="C14" s="161" t="s">
        <v>50</v>
      </c>
      <c r="D14" s="144"/>
      <c r="E14" s="147"/>
      <c r="F14" s="151"/>
      <c r="G14" s="151">
        <f>SUMIF(AE15:AE155,"&lt;&gt;NOR",G15:G155)</f>
        <v>0</v>
      </c>
      <c r="H14" s="151"/>
      <c r="I14" s="151">
        <f>SUM(I15:I155)</f>
        <v>0</v>
      </c>
      <c r="J14" s="151"/>
      <c r="K14" s="151">
        <f>SUM(K15:K155)</f>
        <v>0</v>
      </c>
      <c r="L14" s="151"/>
      <c r="M14" s="151">
        <f>SUM(M15:M155)</f>
        <v>0</v>
      </c>
      <c r="N14" s="151"/>
      <c r="O14" s="147">
        <f>SUM(O15:O155)</f>
        <v>10.32</v>
      </c>
      <c r="P14" s="151"/>
      <c r="Q14" s="147">
        <f>SUM(Q15:Q155)</f>
        <v>0.74399999999999999</v>
      </c>
      <c r="R14" s="151"/>
      <c r="S14" s="151"/>
      <c r="T14" s="152"/>
      <c r="U14" s="151">
        <f>SUM(U15:U155)</f>
        <v>0</v>
      </c>
      <c r="AE14" t="s">
        <v>79</v>
      </c>
    </row>
    <row r="15" spans="1:60" ht="22.5" outlineLevel="1" x14ac:dyDescent="0.2">
      <c r="A15" s="138">
        <v>5</v>
      </c>
      <c r="B15" s="167">
        <v>762085103</v>
      </c>
      <c r="C15" s="160" t="s">
        <v>100</v>
      </c>
      <c r="D15" s="173" t="s">
        <v>99</v>
      </c>
      <c r="E15" s="180">
        <f>E17</f>
        <v>54</v>
      </c>
      <c r="F15" s="148"/>
      <c r="G15" s="149">
        <f>ROUND(E15*F15,2)</f>
        <v>0</v>
      </c>
      <c r="H15" s="149"/>
      <c r="I15" s="149"/>
      <c r="J15" s="149"/>
      <c r="K15" s="149"/>
      <c r="L15" s="149"/>
      <c r="M15" s="149"/>
      <c r="N15" s="181">
        <v>2.6700000000000001E-3</v>
      </c>
      <c r="O15" s="145">
        <f>ROUND(E15*N15,2)</f>
        <v>0.14000000000000001</v>
      </c>
      <c r="P15" s="145">
        <v>0</v>
      </c>
      <c r="Q15" s="145">
        <f>ROUND(E15*P15,2)</f>
        <v>0</v>
      </c>
      <c r="R15" s="149"/>
      <c r="S15" s="149"/>
      <c r="T15" s="150"/>
      <c r="U15" s="149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ht="45" outlineLevel="1" x14ac:dyDescent="0.2">
      <c r="A16" s="194"/>
      <c r="B16" s="167"/>
      <c r="C16" s="230" t="s">
        <v>113</v>
      </c>
      <c r="D16" s="142"/>
      <c r="E16" s="145"/>
      <c r="F16" s="165"/>
      <c r="G16" s="149"/>
      <c r="H16" s="148"/>
      <c r="I16" s="149"/>
      <c r="J16" s="148"/>
      <c r="K16" s="149"/>
      <c r="L16" s="149"/>
      <c r="M16" s="149"/>
      <c r="N16" s="149"/>
      <c r="O16" s="149"/>
      <c r="P16" s="149"/>
      <c r="Q16" s="149"/>
      <c r="R16" s="149"/>
      <c r="S16" s="149"/>
      <c r="T16" s="150"/>
      <c r="U16" s="149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</row>
    <row r="17" spans="1:60" outlineLevel="1" x14ac:dyDescent="0.2">
      <c r="A17" s="199"/>
      <c r="B17" s="214"/>
      <c r="C17" s="200" t="s">
        <v>114</v>
      </c>
      <c r="D17" s="168"/>
      <c r="E17" s="171">
        <f>30+24</f>
        <v>54</v>
      </c>
      <c r="F17" s="193"/>
      <c r="G17" s="177"/>
      <c r="H17" s="189"/>
      <c r="I17" s="154"/>
      <c r="J17" s="189"/>
      <c r="K17" s="154"/>
      <c r="L17" s="154"/>
      <c r="M17" s="154"/>
      <c r="N17" s="176"/>
      <c r="O17" s="154"/>
      <c r="P17" s="177"/>
      <c r="Q17" s="154"/>
      <c r="R17" s="149"/>
      <c r="S17" s="149"/>
      <c r="T17" s="150"/>
      <c r="U17" s="149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</row>
    <row r="18" spans="1:60" ht="22.5" outlineLevel="1" x14ac:dyDescent="0.2">
      <c r="A18" s="138">
        <v>6</v>
      </c>
      <c r="B18" s="167">
        <v>762085112</v>
      </c>
      <c r="C18" s="160" t="s">
        <v>119</v>
      </c>
      <c r="D18" s="142" t="s">
        <v>99</v>
      </c>
      <c r="E18" s="180">
        <f>E20</f>
        <v>108</v>
      </c>
      <c r="F18" s="148"/>
      <c r="G18" s="149">
        <f>ROUND(E18*F18,2)</f>
        <v>0</v>
      </c>
      <c r="H18" s="149"/>
      <c r="I18" s="149"/>
      <c r="J18" s="149"/>
      <c r="K18" s="149"/>
      <c r="L18" s="149"/>
      <c r="M18" s="149"/>
      <c r="N18" s="181">
        <v>0</v>
      </c>
      <c r="O18" s="145">
        <f>ROUND(E18*N18,2)</f>
        <v>0</v>
      </c>
      <c r="P18" s="145">
        <v>0</v>
      </c>
      <c r="Q18" s="145">
        <f>ROUND(E18*P18,2)</f>
        <v>0</v>
      </c>
      <c r="R18" s="149"/>
      <c r="S18" s="149"/>
      <c r="T18" s="150"/>
      <c r="U18" s="149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</row>
    <row r="19" spans="1:60" ht="22.5" outlineLevel="1" x14ac:dyDescent="0.2">
      <c r="A19" s="138"/>
      <c r="B19" s="167"/>
      <c r="C19" s="231" t="s">
        <v>121</v>
      </c>
      <c r="D19" s="142"/>
      <c r="E19" s="180"/>
      <c r="F19" s="165"/>
      <c r="G19" s="175"/>
      <c r="H19" s="149"/>
      <c r="I19" s="149"/>
      <c r="J19" s="149"/>
      <c r="K19" s="149"/>
      <c r="L19" s="149"/>
      <c r="M19" s="149"/>
      <c r="N19" s="181"/>
      <c r="O19" s="145"/>
      <c r="P19" s="245"/>
      <c r="Q19" s="145"/>
      <c r="R19" s="149"/>
      <c r="S19" s="149"/>
      <c r="T19" s="150"/>
      <c r="U19" s="149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</row>
    <row r="20" spans="1:60" outlineLevel="1" x14ac:dyDescent="0.2">
      <c r="A20" s="166"/>
      <c r="B20" s="214"/>
      <c r="C20" s="227" t="s">
        <v>120</v>
      </c>
      <c r="D20" s="188"/>
      <c r="E20" s="208">
        <f>60+48</f>
        <v>108</v>
      </c>
      <c r="F20" s="193"/>
      <c r="G20" s="177"/>
      <c r="H20" s="154"/>
      <c r="I20" s="154"/>
      <c r="J20" s="154"/>
      <c r="K20" s="154"/>
      <c r="L20" s="154"/>
      <c r="M20" s="154"/>
      <c r="N20" s="219"/>
      <c r="O20" s="169"/>
      <c r="P20" s="220"/>
      <c r="Q20" s="169"/>
      <c r="R20" s="149"/>
      <c r="S20" s="149"/>
      <c r="T20" s="150"/>
      <c r="U20" s="149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</row>
    <row r="21" spans="1:60" ht="22.5" outlineLevel="1" x14ac:dyDescent="0.2">
      <c r="A21" s="138">
        <v>7</v>
      </c>
      <c r="B21" s="167">
        <v>762085113</v>
      </c>
      <c r="C21" s="160" t="s">
        <v>122</v>
      </c>
      <c r="D21" s="142" t="s">
        <v>99</v>
      </c>
      <c r="E21" s="145">
        <f>E26</f>
        <v>85</v>
      </c>
      <c r="F21" s="148"/>
      <c r="G21" s="149">
        <f>ROUND(E21*F21,2)</f>
        <v>0</v>
      </c>
      <c r="H21" s="148"/>
      <c r="I21" s="149"/>
      <c r="J21" s="148"/>
      <c r="K21" s="149"/>
      <c r="L21" s="149"/>
      <c r="M21" s="149"/>
      <c r="N21" s="181">
        <v>0</v>
      </c>
      <c r="O21" s="145">
        <f>ROUND(E21*N21,2)</f>
        <v>0</v>
      </c>
      <c r="P21" s="145">
        <v>0</v>
      </c>
      <c r="Q21" s="145">
        <f>ROUND(E21*P21,2)</f>
        <v>0</v>
      </c>
      <c r="R21" s="149"/>
      <c r="S21" s="149"/>
      <c r="T21" s="150"/>
      <c r="U21" s="149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</row>
    <row r="22" spans="1:60" outlineLevel="1" x14ac:dyDescent="0.2">
      <c r="A22" s="194"/>
      <c r="B22" s="167"/>
      <c r="C22" s="230" t="s">
        <v>123</v>
      </c>
      <c r="D22" s="142"/>
      <c r="E22" s="145"/>
      <c r="F22" s="165"/>
      <c r="G22" s="175"/>
      <c r="H22" s="148"/>
      <c r="I22" s="149"/>
      <c r="J22" s="148"/>
      <c r="K22" s="149"/>
      <c r="L22" s="149"/>
      <c r="M22" s="149"/>
      <c r="N22" s="150"/>
      <c r="O22" s="149"/>
      <c r="P22" s="175"/>
      <c r="Q22" s="149"/>
      <c r="R22" s="149"/>
      <c r="S22" s="149"/>
      <c r="T22" s="150"/>
      <c r="U22" s="149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</row>
    <row r="23" spans="1:60" outlineLevel="1" x14ac:dyDescent="0.2">
      <c r="A23" s="194"/>
      <c r="B23" s="167"/>
      <c r="C23" s="202" t="s">
        <v>124</v>
      </c>
      <c r="D23" s="143"/>
      <c r="E23" s="146">
        <f>25+20</f>
        <v>45</v>
      </c>
      <c r="F23" s="165"/>
      <c r="G23" s="175"/>
      <c r="H23" s="148"/>
      <c r="I23" s="149"/>
      <c r="J23" s="148"/>
      <c r="K23" s="149"/>
      <c r="L23" s="149"/>
      <c r="M23" s="149"/>
      <c r="N23" s="150"/>
      <c r="O23" s="149"/>
      <c r="P23" s="175"/>
      <c r="Q23" s="149"/>
      <c r="R23" s="149"/>
      <c r="S23" s="149"/>
      <c r="T23" s="150"/>
      <c r="U23" s="149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</row>
    <row r="24" spans="1:60" outlineLevel="1" x14ac:dyDescent="0.2">
      <c r="A24" s="194"/>
      <c r="B24" s="167"/>
      <c r="C24" s="231" t="s">
        <v>177</v>
      </c>
      <c r="D24" s="142"/>
      <c r="E24" s="202"/>
      <c r="F24" s="165"/>
      <c r="G24" s="175"/>
      <c r="H24" s="148"/>
      <c r="I24" s="149"/>
      <c r="J24" s="148"/>
      <c r="K24" s="149"/>
      <c r="L24" s="149"/>
      <c r="M24" s="149"/>
      <c r="N24" s="150"/>
      <c r="O24" s="149"/>
      <c r="P24" s="175"/>
      <c r="Q24" s="149"/>
      <c r="R24" s="149"/>
      <c r="S24" s="149"/>
      <c r="T24" s="150"/>
      <c r="U24" s="149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</row>
    <row r="25" spans="1:60" outlineLevel="1" x14ac:dyDescent="0.2">
      <c r="A25" s="194"/>
      <c r="B25" s="167"/>
      <c r="C25" s="202">
        <v>40</v>
      </c>
      <c r="D25" s="142"/>
      <c r="E25" s="208">
        <v>40</v>
      </c>
      <c r="F25" s="165"/>
      <c r="G25" s="175"/>
      <c r="H25" s="148"/>
      <c r="I25" s="149"/>
      <c r="J25" s="148"/>
      <c r="K25" s="149"/>
      <c r="L25" s="149"/>
      <c r="M25" s="149"/>
      <c r="N25" s="150"/>
      <c r="O25" s="149"/>
      <c r="P25" s="175"/>
      <c r="Q25" s="149"/>
      <c r="R25" s="149"/>
      <c r="S25" s="149"/>
      <c r="T25" s="150"/>
      <c r="U25" s="149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</row>
    <row r="26" spans="1:60" outlineLevel="1" x14ac:dyDescent="0.2">
      <c r="A26" s="166"/>
      <c r="B26" s="172"/>
      <c r="C26" s="170"/>
      <c r="D26" s="168"/>
      <c r="E26" s="171">
        <f>SUM(E23:E25)</f>
        <v>85</v>
      </c>
      <c r="F26" s="154"/>
      <c r="G26" s="205"/>
      <c r="H26" s="154"/>
      <c r="I26" s="154"/>
      <c r="J26" s="154"/>
      <c r="K26" s="154"/>
      <c r="L26" s="154"/>
      <c r="M26" s="154"/>
      <c r="N26" s="176"/>
      <c r="O26" s="174"/>
      <c r="P26" s="177"/>
      <c r="Q26" s="154"/>
      <c r="R26" s="149"/>
      <c r="S26" s="149"/>
      <c r="T26" s="150"/>
      <c r="U26" s="149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</row>
    <row r="27" spans="1:60" ht="67.5" outlineLevel="1" x14ac:dyDescent="0.2">
      <c r="A27" s="138">
        <v>8</v>
      </c>
      <c r="B27" s="138" t="s">
        <v>91</v>
      </c>
      <c r="C27" s="203" t="s">
        <v>178</v>
      </c>
      <c r="D27" s="173" t="s">
        <v>99</v>
      </c>
      <c r="E27" s="180">
        <f>E29</f>
        <v>54</v>
      </c>
      <c r="F27" s="148"/>
      <c r="G27" s="149">
        <f>ROUND(E27*F27,2)</f>
        <v>0</v>
      </c>
      <c r="H27" s="149"/>
      <c r="I27" s="149"/>
      <c r="J27" s="149"/>
      <c r="K27" s="149"/>
      <c r="L27" s="149"/>
      <c r="M27" s="149"/>
      <c r="N27" s="181">
        <v>3.2000000000000001E-2</v>
      </c>
      <c r="O27" s="145">
        <f>ROUND(E27*N27,2)</f>
        <v>1.73</v>
      </c>
      <c r="P27" s="145">
        <v>0</v>
      </c>
      <c r="Q27" s="145">
        <f>ROUND(E27*P27,2)</f>
        <v>0</v>
      </c>
      <c r="R27" s="149"/>
      <c r="S27" s="149"/>
      <c r="T27" s="150"/>
      <c r="U27" s="149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40"/>
      <c r="BB27" s="137"/>
      <c r="BC27" s="137"/>
      <c r="BD27" s="137"/>
      <c r="BE27" s="137"/>
      <c r="BF27" s="137"/>
      <c r="BG27" s="137"/>
      <c r="BH27" s="137"/>
    </row>
    <row r="28" spans="1:60" outlineLevel="1" x14ac:dyDescent="0.2">
      <c r="A28" s="138"/>
      <c r="B28" s="138"/>
      <c r="C28" s="230" t="s">
        <v>125</v>
      </c>
      <c r="D28" s="173"/>
      <c r="E28" s="180"/>
      <c r="F28" s="148"/>
      <c r="G28" s="175"/>
      <c r="H28" s="149"/>
      <c r="I28" s="149"/>
      <c r="J28" s="149"/>
      <c r="K28" s="149"/>
      <c r="L28" s="149"/>
      <c r="M28" s="149"/>
      <c r="N28" s="181"/>
      <c r="O28" s="145"/>
      <c r="P28" s="245"/>
      <c r="Q28" s="145"/>
      <c r="R28" s="149"/>
      <c r="S28" s="149"/>
      <c r="T28" s="150"/>
      <c r="U28" s="149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40"/>
      <c r="BB28" s="137"/>
      <c r="BC28" s="137"/>
      <c r="BD28" s="137"/>
      <c r="BE28" s="137"/>
      <c r="BF28" s="137"/>
      <c r="BG28" s="137"/>
      <c r="BH28" s="137"/>
    </row>
    <row r="29" spans="1:60" outlineLevel="1" x14ac:dyDescent="0.2">
      <c r="A29" s="166"/>
      <c r="B29" s="166"/>
      <c r="C29" s="182" t="s">
        <v>114</v>
      </c>
      <c r="D29" s="168"/>
      <c r="E29" s="171">
        <f>30+24</f>
        <v>54</v>
      </c>
      <c r="F29" s="154"/>
      <c r="G29" s="205"/>
      <c r="H29" s="154"/>
      <c r="I29" s="154"/>
      <c r="J29" s="154"/>
      <c r="K29" s="154"/>
      <c r="L29" s="154"/>
      <c r="M29" s="154"/>
      <c r="N29" s="176"/>
      <c r="O29" s="174"/>
      <c r="P29" s="177"/>
      <c r="Q29" s="154"/>
      <c r="R29" s="149"/>
      <c r="S29" s="149"/>
      <c r="T29" s="150"/>
      <c r="U29" s="149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40"/>
      <c r="BB29" s="137"/>
      <c r="BC29" s="137"/>
      <c r="BD29" s="137"/>
      <c r="BE29" s="137"/>
      <c r="BF29" s="137"/>
      <c r="BG29" s="137"/>
      <c r="BH29" s="137"/>
    </row>
    <row r="30" spans="1:60" ht="22.5" outlineLevel="1" x14ac:dyDescent="0.2">
      <c r="A30" s="138">
        <v>9</v>
      </c>
      <c r="B30" s="138" t="s">
        <v>91</v>
      </c>
      <c r="C30" s="179" t="s">
        <v>93</v>
      </c>
      <c r="D30" s="173" t="s">
        <v>94</v>
      </c>
      <c r="E30" s="180">
        <f>E34</f>
        <v>28.995000000000001</v>
      </c>
      <c r="F30" s="148"/>
      <c r="G30" s="149">
        <f>ROUND(E30*F30,2)</f>
        <v>0</v>
      </c>
      <c r="H30" s="149"/>
      <c r="I30" s="149"/>
      <c r="J30" s="149"/>
      <c r="K30" s="149"/>
      <c r="L30" s="149"/>
      <c r="M30" s="149"/>
      <c r="N30" s="181">
        <v>1.2999999999999999E-3</v>
      </c>
      <c r="O30" s="145">
        <f>ROUND(E30*N30,2)</f>
        <v>0.04</v>
      </c>
      <c r="P30" s="145">
        <v>0</v>
      </c>
      <c r="Q30" s="145">
        <f>ROUND(E30*P30,2)</f>
        <v>0</v>
      </c>
      <c r="R30" s="149"/>
      <c r="S30" s="149"/>
      <c r="T30" s="150"/>
      <c r="U30" s="149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40"/>
      <c r="BB30" s="137"/>
      <c r="BC30" s="137"/>
      <c r="BD30" s="137"/>
      <c r="BE30" s="137"/>
      <c r="BF30" s="137"/>
      <c r="BG30" s="137"/>
      <c r="BH30" s="137"/>
    </row>
    <row r="31" spans="1:60" ht="22.5" outlineLevel="1" x14ac:dyDescent="0.2">
      <c r="A31" s="138"/>
      <c r="B31" s="138"/>
      <c r="C31" s="230" t="s">
        <v>115</v>
      </c>
      <c r="D31" s="143"/>
      <c r="E31" s="146"/>
      <c r="F31" s="149"/>
      <c r="G31" s="204"/>
      <c r="H31" s="149"/>
      <c r="I31" s="149"/>
      <c r="J31" s="149"/>
      <c r="K31" s="149"/>
      <c r="L31" s="149"/>
      <c r="M31" s="149"/>
      <c r="N31" s="150"/>
      <c r="O31" s="178"/>
      <c r="P31" s="175"/>
      <c r="Q31" s="149"/>
      <c r="R31" s="149"/>
      <c r="S31" s="149"/>
      <c r="T31" s="150"/>
      <c r="U31" s="149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40"/>
      <c r="BB31" s="137"/>
      <c r="BC31" s="137"/>
      <c r="BD31" s="137"/>
      <c r="BE31" s="137"/>
      <c r="BF31" s="137"/>
      <c r="BG31" s="137"/>
      <c r="BH31" s="137"/>
    </row>
    <row r="32" spans="1:60" ht="22.5" outlineLevel="1" x14ac:dyDescent="0.2">
      <c r="A32" s="138"/>
      <c r="B32" s="138"/>
      <c r="C32" s="230" t="s">
        <v>118</v>
      </c>
      <c r="D32" s="143"/>
      <c r="E32" s="146"/>
      <c r="F32" s="149"/>
      <c r="G32" s="204"/>
      <c r="H32" s="149"/>
      <c r="I32" s="149"/>
      <c r="J32" s="149"/>
      <c r="K32" s="149"/>
      <c r="L32" s="149"/>
      <c r="M32" s="149"/>
      <c r="N32" s="150"/>
      <c r="O32" s="178"/>
      <c r="P32" s="175"/>
      <c r="Q32" s="149"/>
      <c r="R32" s="149"/>
      <c r="S32" s="149"/>
      <c r="T32" s="150"/>
      <c r="U32" s="149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40"/>
      <c r="BB32" s="137"/>
      <c r="BC32" s="137"/>
      <c r="BD32" s="137"/>
      <c r="BE32" s="137"/>
      <c r="BF32" s="137"/>
      <c r="BG32" s="137"/>
      <c r="BH32" s="137"/>
    </row>
    <row r="33" spans="1:60" ht="22.5" outlineLevel="1" x14ac:dyDescent="0.2">
      <c r="A33" s="138"/>
      <c r="B33" s="138"/>
      <c r="C33" s="230" t="s">
        <v>182</v>
      </c>
      <c r="D33" s="143"/>
      <c r="E33" s="146"/>
      <c r="F33" s="149"/>
      <c r="G33" s="204"/>
      <c r="H33" s="149"/>
      <c r="I33" s="149"/>
      <c r="J33" s="149"/>
      <c r="K33" s="149"/>
      <c r="L33" s="149"/>
      <c r="M33" s="149"/>
      <c r="N33" s="150"/>
      <c r="O33" s="178"/>
      <c r="P33" s="175"/>
      <c r="Q33" s="149"/>
      <c r="R33" s="149"/>
      <c r="S33" s="149"/>
      <c r="T33" s="150"/>
      <c r="U33" s="149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40"/>
      <c r="BB33" s="137"/>
      <c r="BC33" s="137"/>
      <c r="BD33" s="137"/>
      <c r="BE33" s="137"/>
      <c r="BF33" s="137"/>
      <c r="BG33" s="137"/>
      <c r="BH33" s="137"/>
    </row>
    <row r="34" spans="1:60" outlineLevel="1" x14ac:dyDescent="0.2">
      <c r="A34" s="166"/>
      <c r="B34" s="172"/>
      <c r="C34" s="170" t="s">
        <v>184</v>
      </c>
      <c r="D34" s="184"/>
      <c r="E34" s="171">
        <f>(0.315*25)+(0.32*(20+40)*1.1)</f>
        <v>28.995000000000001</v>
      </c>
      <c r="F34" s="154"/>
      <c r="G34" s="205"/>
      <c r="H34" s="154"/>
      <c r="I34" s="154"/>
      <c r="J34" s="154"/>
      <c r="K34" s="154"/>
      <c r="L34" s="154"/>
      <c r="M34" s="154"/>
      <c r="N34" s="176"/>
      <c r="O34" s="174"/>
      <c r="P34" s="177"/>
      <c r="Q34" s="154"/>
      <c r="R34" s="149"/>
      <c r="S34" s="149"/>
      <c r="T34" s="150"/>
      <c r="U34" s="149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40"/>
      <c r="BB34" s="137"/>
      <c r="BC34" s="137"/>
      <c r="BD34" s="137"/>
      <c r="BE34" s="137"/>
      <c r="BF34" s="137"/>
      <c r="BG34" s="137"/>
      <c r="BH34" s="137"/>
    </row>
    <row r="35" spans="1:60" ht="22.5" outlineLevel="1" x14ac:dyDescent="0.2">
      <c r="A35" s="138">
        <v>10</v>
      </c>
      <c r="B35" s="138" t="s">
        <v>91</v>
      </c>
      <c r="C35" s="183" t="s">
        <v>140</v>
      </c>
      <c r="D35" s="173" t="s">
        <v>94</v>
      </c>
      <c r="E35" s="145">
        <f>E38</f>
        <v>34.451999999999998</v>
      </c>
      <c r="F35" s="148"/>
      <c r="G35" s="149">
        <f>ROUND(E35*F35,2)</f>
        <v>0</v>
      </c>
      <c r="H35" s="149"/>
      <c r="I35" s="149"/>
      <c r="J35" s="149"/>
      <c r="K35" s="149"/>
      <c r="L35" s="149"/>
      <c r="M35" s="149"/>
      <c r="N35" s="181">
        <v>1.65E-3</v>
      </c>
      <c r="O35" s="145">
        <f>ROUND(E35*N35,2)</f>
        <v>0.06</v>
      </c>
      <c r="P35" s="145">
        <v>0</v>
      </c>
      <c r="Q35" s="145">
        <f>ROUND(E35*P35,2)</f>
        <v>0</v>
      </c>
      <c r="R35" s="149"/>
      <c r="S35" s="149"/>
      <c r="T35" s="150"/>
      <c r="U35" s="149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40"/>
      <c r="BB35" s="137"/>
      <c r="BC35" s="137"/>
      <c r="BD35" s="137"/>
      <c r="BE35" s="137"/>
      <c r="BF35" s="137"/>
      <c r="BG35" s="137"/>
      <c r="BH35" s="137"/>
    </row>
    <row r="36" spans="1:60" ht="33.75" outlineLevel="1" x14ac:dyDescent="0.2">
      <c r="A36" s="138"/>
      <c r="B36" s="138"/>
      <c r="C36" s="230" t="s">
        <v>116</v>
      </c>
      <c r="D36" s="143"/>
      <c r="E36" s="146"/>
      <c r="F36" s="149"/>
      <c r="G36" s="204"/>
      <c r="H36" s="149"/>
      <c r="I36" s="149"/>
      <c r="J36" s="149"/>
      <c r="K36" s="149"/>
      <c r="L36" s="149"/>
      <c r="M36" s="149"/>
      <c r="N36" s="150"/>
      <c r="O36" s="178"/>
      <c r="P36" s="175"/>
      <c r="Q36" s="149"/>
      <c r="R36" s="149"/>
      <c r="S36" s="149"/>
      <c r="T36" s="150"/>
      <c r="U36" s="149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40"/>
      <c r="BB36" s="137"/>
      <c r="BC36" s="137"/>
      <c r="BD36" s="137"/>
      <c r="BE36" s="137"/>
      <c r="BF36" s="137"/>
      <c r="BG36" s="137"/>
      <c r="BH36" s="137"/>
    </row>
    <row r="37" spans="1:60" ht="33.75" outlineLevel="1" x14ac:dyDescent="0.2">
      <c r="A37" s="138"/>
      <c r="B37" s="138"/>
      <c r="C37" s="230" t="s">
        <v>117</v>
      </c>
      <c r="D37" s="143"/>
      <c r="E37" s="145"/>
      <c r="F37" s="149"/>
      <c r="G37" s="204"/>
      <c r="H37" s="149"/>
      <c r="I37" s="149"/>
      <c r="J37" s="149"/>
      <c r="K37" s="149"/>
      <c r="L37" s="149"/>
      <c r="M37" s="149"/>
      <c r="N37" s="150"/>
      <c r="O37" s="178"/>
      <c r="P37" s="175"/>
      <c r="Q37" s="149"/>
      <c r="R37" s="149"/>
      <c r="S37" s="149"/>
      <c r="T37" s="150"/>
      <c r="U37" s="149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40"/>
      <c r="BB37" s="137"/>
      <c r="BC37" s="137"/>
      <c r="BD37" s="137"/>
      <c r="BE37" s="137"/>
      <c r="BF37" s="137"/>
      <c r="BG37" s="137"/>
      <c r="BH37" s="137"/>
    </row>
    <row r="38" spans="1:60" ht="12.75" customHeight="1" outlineLevel="1" x14ac:dyDescent="0.2">
      <c r="A38" s="166"/>
      <c r="B38" s="172"/>
      <c r="C38" s="170" t="s">
        <v>185</v>
      </c>
      <c r="D38" s="184"/>
      <c r="E38" s="171">
        <f>((60+48)*0.29)*1.1</f>
        <v>34.451999999999998</v>
      </c>
      <c r="F38" s="154"/>
      <c r="G38" s="185"/>
      <c r="H38" s="154"/>
      <c r="I38" s="154"/>
      <c r="J38" s="154"/>
      <c r="K38" s="154"/>
      <c r="L38" s="154"/>
      <c r="M38" s="154"/>
      <c r="N38" s="176"/>
      <c r="O38" s="174"/>
      <c r="P38" s="177"/>
      <c r="Q38" s="154"/>
      <c r="R38" s="149"/>
      <c r="S38" s="149"/>
      <c r="T38" s="150"/>
      <c r="U38" s="149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40"/>
      <c r="BB38" s="137"/>
      <c r="BC38" s="137"/>
      <c r="BD38" s="137"/>
      <c r="BE38" s="137"/>
      <c r="BF38" s="137"/>
      <c r="BG38" s="137"/>
      <c r="BH38" s="137"/>
    </row>
    <row r="39" spans="1:60" ht="22.5" outlineLevel="1" x14ac:dyDescent="0.2">
      <c r="A39" s="138">
        <v>11</v>
      </c>
      <c r="B39" s="138" t="s">
        <v>91</v>
      </c>
      <c r="C39" s="183" t="s">
        <v>95</v>
      </c>
      <c r="D39" s="173" t="s">
        <v>96</v>
      </c>
      <c r="E39" s="145">
        <f>E40</f>
        <v>0.17</v>
      </c>
      <c r="F39" s="148"/>
      <c r="G39" s="149">
        <f>ROUND(E39*F39,2)</f>
        <v>0</v>
      </c>
      <c r="H39" s="149"/>
      <c r="I39" s="149"/>
      <c r="J39" s="149"/>
      <c r="K39" s="149"/>
      <c r="L39" s="149"/>
      <c r="M39" s="149"/>
      <c r="N39" s="181">
        <v>0</v>
      </c>
      <c r="O39" s="145">
        <f>ROUND(E39*N39,2)</f>
        <v>0</v>
      </c>
      <c r="P39" s="145">
        <v>0</v>
      </c>
      <c r="Q39" s="145">
        <f>ROUND(E39*P39,2)</f>
        <v>0</v>
      </c>
      <c r="R39" s="149"/>
      <c r="S39" s="149"/>
      <c r="T39" s="150"/>
      <c r="U39" s="149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40"/>
      <c r="BB39" s="137"/>
      <c r="BC39" s="137"/>
      <c r="BD39" s="137"/>
      <c r="BE39" s="137"/>
      <c r="BF39" s="137"/>
      <c r="BG39" s="137"/>
      <c r="BH39" s="137"/>
    </row>
    <row r="40" spans="1:60" outlineLevel="1" x14ac:dyDescent="0.2">
      <c r="A40" s="166"/>
      <c r="B40" s="172"/>
      <c r="C40" s="170" t="s">
        <v>183</v>
      </c>
      <c r="D40" s="184"/>
      <c r="E40" s="171">
        <f>(25+20+40)*2/1000</f>
        <v>0.17</v>
      </c>
      <c r="F40" s="154"/>
      <c r="G40" s="205"/>
      <c r="H40" s="154"/>
      <c r="I40" s="154"/>
      <c r="J40" s="154"/>
      <c r="K40" s="154"/>
      <c r="L40" s="154"/>
      <c r="M40" s="154"/>
      <c r="N40" s="176"/>
      <c r="O40" s="174"/>
      <c r="P40" s="177"/>
      <c r="Q40" s="154"/>
      <c r="R40" s="149"/>
      <c r="S40" s="149"/>
      <c r="T40" s="150"/>
      <c r="U40" s="149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40"/>
      <c r="BB40" s="137"/>
      <c r="BC40" s="137"/>
      <c r="BD40" s="137"/>
      <c r="BE40" s="137"/>
      <c r="BF40" s="137"/>
      <c r="BG40" s="137"/>
      <c r="BH40" s="137"/>
    </row>
    <row r="41" spans="1:60" ht="22.5" outlineLevel="1" x14ac:dyDescent="0.2">
      <c r="A41" s="138">
        <v>12</v>
      </c>
      <c r="B41" s="138" t="s">
        <v>91</v>
      </c>
      <c r="C41" s="183" t="s">
        <v>141</v>
      </c>
      <c r="D41" s="173" t="s">
        <v>96</v>
      </c>
      <c r="E41" s="145">
        <f>E42</f>
        <v>0.216</v>
      </c>
      <c r="F41" s="148"/>
      <c r="G41" s="149">
        <f>ROUND(E41*F41,2)</f>
        <v>0</v>
      </c>
      <c r="H41" s="149"/>
      <c r="I41" s="149"/>
      <c r="J41" s="149"/>
      <c r="K41" s="149"/>
      <c r="L41" s="149"/>
      <c r="M41" s="149"/>
      <c r="N41" s="181">
        <v>0</v>
      </c>
      <c r="O41" s="145">
        <f>ROUND(E41*N41,2)</f>
        <v>0</v>
      </c>
      <c r="P41" s="145">
        <v>0</v>
      </c>
      <c r="Q41" s="145">
        <f>ROUND(E41*P41,2)</f>
        <v>0</v>
      </c>
      <c r="R41" s="149"/>
      <c r="S41" s="149"/>
      <c r="T41" s="150"/>
      <c r="U41" s="149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40"/>
      <c r="BB41" s="137"/>
      <c r="BC41" s="137"/>
      <c r="BD41" s="137"/>
      <c r="BE41" s="137"/>
      <c r="BF41" s="137"/>
      <c r="BG41" s="137"/>
      <c r="BH41" s="137"/>
    </row>
    <row r="42" spans="1:60" outlineLevel="1" x14ac:dyDescent="0.2">
      <c r="A42" s="166"/>
      <c r="B42" s="172"/>
      <c r="C42" s="170" t="s">
        <v>142</v>
      </c>
      <c r="D42" s="184"/>
      <c r="E42" s="171">
        <f>(60+48)*2/1000</f>
        <v>0.216</v>
      </c>
      <c r="F42" s="154"/>
      <c r="G42" s="205"/>
      <c r="H42" s="154"/>
      <c r="I42" s="154"/>
      <c r="J42" s="154"/>
      <c r="K42" s="154"/>
      <c r="L42" s="154"/>
      <c r="M42" s="154"/>
      <c r="N42" s="176"/>
      <c r="O42" s="174"/>
      <c r="P42" s="177"/>
      <c r="Q42" s="154"/>
      <c r="R42" s="149"/>
      <c r="S42" s="149"/>
      <c r="T42" s="150"/>
      <c r="U42" s="149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40"/>
      <c r="BB42" s="137"/>
      <c r="BC42" s="137"/>
      <c r="BD42" s="137"/>
      <c r="BE42" s="137"/>
      <c r="BF42" s="137"/>
      <c r="BG42" s="137"/>
      <c r="BH42" s="137"/>
    </row>
    <row r="43" spans="1:60" ht="33.75" outlineLevel="1" x14ac:dyDescent="0.2">
      <c r="A43" s="138">
        <v>13</v>
      </c>
      <c r="B43" s="138" t="s">
        <v>91</v>
      </c>
      <c r="C43" s="186" t="s">
        <v>97</v>
      </c>
      <c r="D43" s="212" t="s">
        <v>96</v>
      </c>
      <c r="E43" s="187">
        <f>E44</f>
        <v>0.17</v>
      </c>
      <c r="F43" s="148"/>
      <c r="G43" s="149">
        <f>ROUND(E43*F43,2)</f>
        <v>0</v>
      </c>
      <c r="H43" s="149"/>
      <c r="I43" s="149"/>
      <c r="J43" s="149"/>
      <c r="K43" s="149"/>
      <c r="L43" s="149"/>
      <c r="M43" s="149"/>
      <c r="N43" s="181">
        <v>0</v>
      </c>
      <c r="O43" s="145">
        <f>ROUND(E43*N43,2)</f>
        <v>0</v>
      </c>
      <c r="P43" s="145">
        <v>0</v>
      </c>
      <c r="Q43" s="145">
        <f>ROUND(E43*P43,2)</f>
        <v>0</v>
      </c>
      <c r="R43" s="149"/>
      <c r="S43" s="149"/>
      <c r="T43" s="150"/>
      <c r="U43" s="149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40"/>
      <c r="BB43" s="137"/>
      <c r="BC43" s="137"/>
      <c r="BD43" s="137"/>
      <c r="BE43" s="137"/>
      <c r="BF43" s="137"/>
      <c r="BG43" s="137"/>
      <c r="BH43" s="137"/>
    </row>
    <row r="44" spans="1:60" outlineLevel="1" x14ac:dyDescent="0.2">
      <c r="A44" s="166"/>
      <c r="B44" s="172"/>
      <c r="C44" s="170" t="s">
        <v>183</v>
      </c>
      <c r="D44" s="184"/>
      <c r="E44" s="171">
        <f>(25+20+40)*2/1000</f>
        <v>0.17</v>
      </c>
      <c r="F44" s="154"/>
      <c r="G44" s="205"/>
      <c r="H44" s="154"/>
      <c r="I44" s="154"/>
      <c r="J44" s="154"/>
      <c r="K44" s="154"/>
      <c r="L44" s="154"/>
      <c r="M44" s="154"/>
      <c r="N44" s="176"/>
      <c r="O44" s="174"/>
      <c r="P44" s="177"/>
      <c r="Q44" s="154"/>
      <c r="R44" s="149"/>
      <c r="S44" s="149"/>
      <c r="T44" s="150"/>
      <c r="U44" s="149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40"/>
      <c r="BB44" s="137"/>
      <c r="BC44" s="137"/>
      <c r="BD44" s="137"/>
      <c r="BE44" s="137"/>
      <c r="BF44" s="137"/>
      <c r="BG44" s="137"/>
      <c r="BH44" s="137"/>
    </row>
    <row r="45" spans="1:60" ht="33.75" outlineLevel="1" x14ac:dyDescent="0.2">
      <c r="A45" s="138">
        <v>14</v>
      </c>
      <c r="B45" s="138" t="s">
        <v>91</v>
      </c>
      <c r="C45" s="186" t="s">
        <v>143</v>
      </c>
      <c r="D45" s="173" t="s">
        <v>96</v>
      </c>
      <c r="E45" s="187">
        <f>E46</f>
        <v>0.216</v>
      </c>
      <c r="F45" s="148"/>
      <c r="G45" s="149">
        <f>ROUND(E45*F45,2)</f>
        <v>0</v>
      </c>
      <c r="H45" s="149"/>
      <c r="I45" s="149"/>
      <c r="J45" s="149"/>
      <c r="K45" s="149"/>
      <c r="L45" s="149"/>
      <c r="M45" s="149"/>
      <c r="N45" s="181">
        <v>0</v>
      </c>
      <c r="O45" s="145">
        <f>ROUND(E45*N45,2)</f>
        <v>0</v>
      </c>
      <c r="P45" s="145">
        <v>0</v>
      </c>
      <c r="Q45" s="145">
        <f>ROUND(E45*P45,2)</f>
        <v>0</v>
      </c>
      <c r="R45" s="149"/>
      <c r="S45" s="149"/>
      <c r="T45" s="150"/>
      <c r="U45" s="149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40"/>
      <c r="BB45" s="137"/>
      <c r="BC45" s="137"/>
      <c r="BD45" s="137"/>
      <c r="BE45" s="137"/>
      <c r="BF45" s="137"/>
      <c r="BG45" s="137"/>
      <c r="BH45" s="137"/>
    </row>
    <row r="46" spans="1:60" outlineLevel="1" x14ac:dyDescent="0.2">
      <c r="A46" s="166"/>
      <c r="B46" s="172"/>
      <c r="C46" s="170" t="s">
        <v>142</v>
      </c>
      <c r="D46" s="168"/>
      <c r="E46" s="171">
        <f>(60+48)*2/1000</f>
        <v>0.216</v>
      </c>
      <c r="F46" s="154"/>
      <c r="G46" s="205"/>
      <c r="H46" s="154"/>
      <c r="I46" s="154"/>
      <c r="J46" s="154"/>
      <c r="K46" s="154"/>
      <c r="L46" s="154"/>
      <c r="M46" s="154"/>
      <c r="N46" s="176"/>
      <c r="O46" s="174"/>
      <c r="P46" s="177"/>
      <c r="Q46" s="154"/>
      <c r="R46" s="149"/>
      <c r="S46" s="149"/>
      <c r="T46" s="150"/>
      <c r="U46" s="149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40"/>
      <c r="BB46" s="137"/>
      <c r="BC46" s="137"/>
      <c r="BD46" s="137"/>
      <c r="BE46" s="137"/>
      <c r="BF46" s="137"/>
      <c r="BG46" s="137"/>
      <c r="BH46" s="137"/>
    </row>
    <row r="47" spans="1:60" ht="22.5" outlineLevel="1" x14ac:dyDescent="0.2">
      <c r="A47" s="138">
        <v>15</v>
      </c>
      <c r="B47" s="167">
        <v>762331813</v>
      </c>
      <c r="C47" s="191" t="s">
        <v>157</v>
      </c>
      <c r="D47" s="173" t="s">
        <v>94</v>
      </c>
      <c r="E47" s="180">
        <f>E52</f>
        <v>186.4</v>
      </c>
      <c r="F47" s="148"/>
      <c r="G47" s="149">
        <f>ROUND(E47*F47,2)</f>
        <v>0</v>
      </c>
      <c r="H47" s="149"/>
      <c r="I47" s="149"/>
      <c r="J47" s="149"/>
      <c r="K47" s="149"/>
      <c r="L47" s="149"/>
      <c r="M47" s="149"/>
      <c r="N47" s="181">
        <v>0</v>
      </c>
      <c r="O47" s="145">
        <f>ROUND(E47*N47,2)</f>
        <v>0</v>
      </c>
      <c r="P47" s="145">
        <v>2.4E-2</v>
      </c>
      <c r="Q47" s="145">
        <f>P47*1</f>
        <v>2.4E-2</v>
      </c>
      <c r="R47" s="149"/>
      <c r="S47" s="149"/>
      <c r="T47" s="150"/>
      <c r="U47" s="149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40"/>
      <c r="BB47" s="137"/>
      <c r="BC47" s="137"/>
      <c r="BD47" s="137"/>
      <c r="BE47" s="137"/>
      <c r="BF47" s="137"/>
      <c r="BG47" s="137"/>
      <c r="BH47" s="137"/>
    </row>
    <row r="48" spans="1:60" ht="33.75" outlineLevel="1" x14ac:dyDescent="0.2">
      <c r="A48" s="138"/>
      <c r="B48" s="167"/>
      <c r="C48" s="230" t="s">
        <v>159</v>
      </c>
      <c r="D48" s="143"/>
      <c r="E48" s="180"/>
      <c r="F48" s="165"/>
      <c r="G48" s="175"/>
      <c r="H48" s="149"/>
      <c r="I48" s="149"/>
      <c r="J48" s="149"/>
      <c r="K48" s="149"/>
      <c r="L48" s="149"/>
      <c r="M48" s="149"/>
      <c r="N48" s="181"/>
      <c r="O48" s="145"/>
      <c r="P48" s="245"/>
      <c r="Q48" s="145"/>
      <c r="R48" s="149"/>
      <c r="S48" s="149"/>
      <c r="T48" s="150"/>
      <c r="U48" s="149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40"/>
      <c r="BB48" s="137"/>
      <c r="BC48" s="137"/>
      <c r="BD48" s="137"/>
      <c r="BE48" s="137"/>
      <c r="BF48" s="137"/>
      <c r="BG48" s="137"/>
      <c r="BH48" s="137"/>
    </row>
    <row r="49" spans="1:60" outlineLevel="1" x14ac:dyDescent="0.2">
      <c r="A49" s="138"/>
      <c r="B49" s="167"/>
      <c r="C49" s="202" t="s">
        <v>160</v>
      </c>
      <c r="D49" s="143"/>
      <c r="E49" s="146">
        <f>8*12.5</f>
        <v>100</v>
      </c>
      <c r="F49" s="165"/>
      <c r="G49" s="175"/>
      <c r="H49" s="149"/>
      <c r="I49" s="149"/>
      <c r="J49" s="149"/>
      <c r="K49" s="149"/>
      <c r="L49" s="149"/>
      <c r="M49" s="149"/>
      <c r="N49" s="181"/>
      <c r="O49" s="145"/>
      <c r="P49" s="245"/>
      <c r="Q49" s="145"/>
      <c r="R49" s="149"/>
      <c r="S49" s="149"/>
      <c r="T49" s="150"/>
      <c r="U49" s="149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40"/>
      <c r="BB49" s="137"/>
      <c r="BC49" s="137"/>
      <c r="BD49" s="137"/>
      <c r="BE49" s="137"/>
      <c r="BF49" s="137"/>
      <c r="BG49" s="137"/>
      <c r="BH49" s="137"/>
    </row>
    <row r="50" spans="1:60" ht="33.75" outlineLevel="1" x14ac:dyDescent="0.2">
      <c r="A50" s="138"/>
      <c r="B50" s="138"/>
      <c r="C50" s="230" t="s">
        <v>161</v>
      </c>
      <c r="D50" s="143"/>
      <c r="E50" s="146"/>
      <c r="F50" s="149"/>
      <c r="G50" s="204"/>
      <c r="H50" s="149"/>
      <c r="I50" s="149"/>
      <c r="J50" s="149"/>
      <c r="K50" s="149"/>
      <c r="L50" s="149"/>
      <c r="M50" s="149"/>
      <c r="N50" s="150"/>
      <c r="O50" s="178"/>
      <c r="P50" s="175"/>
      <c r="Q50" s="149"/>
      <c r="R50" s="149"/>
      <c r="S50" s="149"/>
      <c r="T50" s="150"/>
      <c r="U50" s="149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40"/>
      <c r="BB50" s="137"/>
      <c r="BC50" s="137"/>
      <c r="BD50" s="137"/>
      <c r="BE50" s="137"/>
      <c r="BF50" s="137"/>
      <c r="BG50" s="137"/>
      <c r="BH50" s="137"/>
    </row>
    <row r="51" spans="1:60" outlineLevel="1" x14ac:dyDescent="0.2">
      <c r="A51" s="138"/>
      <c r="B51" s="138"/>
      <c r="C51" s="202" t="s">
        <v>162</v>
      </c>
      <c r="D51" s="143"/>
      <c r="E51" s="171">
        <f>8*10.8</f>
        <v>86.4</v>
      </c>
      <c r="F51" s="149"/>
      <c r="G51" s="204"/>
      <c r="H51" s="149"/>
      <c r="I51" s="149"/>
      <c r="J51" s="149"/>
      <c r="K51" s="149"/>
      <c r="L51" s="149"/>
      <c r="M51" s="149"/>
      <c r="N51" s="150"/>
      <c r="O51" s="178"/>
      <c r="P51" s="175"/>
      <c r="Q51" s="149"/>
      <c r="R51" s="149"/>
      <c r="S51" s="149"/>
      <c r="T51" s="150"/>
      <c r="U51" s="149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40"/>
      <c r="BB51" s="137"/>
      <c r="BC51" s="137"/>
      <c r="BD51" s="137"/>
      <c r="BE51" s="137"/>
      <c r="BF51" s="137"/>
      <c r="BG51" s="137"/>
      <c r="BH51" s="137"/>
    </row>
    <row r="52" spans="1:60" outlineLevel="1" x14ac:dyDescent="0.2">
      <c r="A52" s="166"/>
      <c r="B52" s="166"/>
      <c r="C52" s="227"/>
      <c r="D52" s="168"/>
      <c r="E52" s="171">
        <f>SUM(E48:E51)</f>
        <v>186.4</v>
      </c>
      <c r="F52" s="154"/>
      <c r="G52" s="205"/>
      <c r="H52" s="154"/>
      <c r="I52" s="154"/>
      <c r="J52" s="154"/>
      <c r="K52" s="154"/>
      <c r="L52" s="154"/>
      <c r="M52" s="154"/>
      <c r="N52" s="176"/>
      <c r="O52" s="174"/>
      <c r="P52" s="177"/>
      <c r="Q52" s="154"/>
      <c r="R52" s="149"/>
      <c r="S52" s="149"/>
      <c r="T52" s="150"/>
      <c r="U52" s="149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40"/>
      <c r="BB52" s="137"/>
      <c r="BC52" s="137"/>
      <c r="BD52" s="137"/>
      <c r="BE52" s="137"/>
      <c r="BF52" s="137"/>
      <c r="BG52" s="137"/>
      <c r="BH52" s="137"/>
    </row>
    <row r="53" spans="1:60" ht="22.5" outlineLevel="1" x14ac:dyDescent="0.2">
      <c r="A53" s="138">
        <v>16</v>
      </c>
      <c r="B53" s="167">
        <v>762331922</v>
      </c>
      <c r="C53" s="191" t="s">
        <v>212</v>
      </c>
      <c r="D53" s="173" t="s">
        <v>94</v>
      </c>
      <c r="E53" s="180">
        <f>E55</f>
        <v>4.2</v>
      </c>
      <c r="F53" s="148"/>
      <c r="G53" s="149">
        <f>ROUND(E53*F53,2)</f>
        <v>0</v>
      </c>
      <c r="H53" s="149"/>
      <c r="I53" s="149"/>
      <c r="J53" s="149"/>
      <c r="K53" s="149"/>
      <c r="L53" s="149"/>
      <c r="M53" s="149"/>
      <c r="N53" s="181">
        <v>0</v>
      </c>
      <c r="O53" s="145">
        <f>ROUND(E53*N53,2)</f>
        <v>0</v>
      </c>
      <c r="P53" s="145">
        <v>1.2319999999999999E-2</v>
      </c>
      <c r="Q53" s="145">
        <f>ROUND(E53*P53,2)</f>
        <v>0.05</v>
      </c>
      <c r="R53" s="149"/>
      <c r="S53" s="149"/>
      <c r="T53" s="150"/>
      <c r="U53" s="149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40"/>
      <c r="BB53" s="137"/>
      <c r="BC53" s="137"/>
      <c r="BD53" s="137"/>
      <c r="BE53" s="137"/>
      <c r="BF53" s="137"/>
      <c r="BG53" s="137"/>
      <c r="BH53" s="137"/>
    </row>
    <row r="54" spans="1:60" ht="12.75" customHeight="1" outlineLevel="1" x14ac:dyDescent="0.2">
      <c r="A54" s="138"/>
      <c r="B54" s="138"/>
      <c r="C54" s="230" t="s">
        <v>213</v>
      </c>
      <c r="D54" s="143"/>
      <c r="E54" s="146"/>
      <c r="F54" s="149"/>
      <c r="G54" s="204"/>
      <c r="H54" s="149"/>
      <c r="I54" s="149"/>
      <c r="J54" s="149"/>
      <c r="K54" s="149"/>
      <c r="L54" s="149"/>
      <c r="M54" s="149"/>
      <c r="N54" s="150"/>
      <c r="O54" s="178"/>
      <c r="P54" s="175"/>
      <c r="Q54" s="149"/>
      <c r="R54" s="149"/>
      <c r="S54" s="149"/>
      <c r="T54" s="150"/>
      <c r="U54" s="149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40"/>
      <c r="BB54" s="137"/>
      <c r="BC54" s="137"/>
      <c r="BD54" s="137"/>
      <c r="BE54" s="137"/>
      <c r="BF54" s="137"/>
      <c r="BG54" s="137"/>
      <c r="BH54" s="137"/>
    </row>
    <row r="55" spans="1:60" outlineLevel="1" x14ac:dyDescent="0.2">
      <c r="A55" s="166"/>
      <c r="B55" s="166"/>
      <c r="C55" s="200">
        <v>4.2</v>
      </c>
      <c r="D55" s="168"/>
      <c r="E55" s="171">
        <v>4.2</v>
      </c>
      <c r="F55" s="154"/>
      <c r="G55" s="205"/>
      <c r="H55" s="154"/>
      <c r="I55" s="154"/>
      <c r="J55" s="154"/>
      <c r="K55" s="154"/>
      <c r="L55" s="154"/>
      <c r="M55" s="154"/>
      <c r="N55" s="176"/>
      <c r="O55" s="174"/>
      <c r="P55" s="177"/>
      <c r="Q55" s="154"/>
      <c r="R55" s="149"/>
      <c r="S55" s="149"/>
      <c r="T55" s="150"/>
      <c r="U55" s="149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40"/>
      <c r="BB55" s="137"/>
      <c r="BC55" s="137"/>
      <c r="BD55" s="137"/>
      <c r="BE55" s="137"/>
      <c r="BF55" s="137"/>
      <c r="BG55" s="137"/>
      <c r="BH55" s="137"/>
    </row>
    <row r="56" spans="1:60" ht="12" customHeight="1" outlineLevel="1" x14ac:dyDescent="0.2">
      <c r="A56" s="138">
        <v>17</v>
      </c>
      <c r="B56" s="167">
        <v>762331931</v>
      </c>
      <c r="C56" s="191" t="s">
        <v>214</v>
      </c>
      <c r="D56" s="173" t="s">
        <v>94</v>
      </c>
      <c r="E56" s="180">
        <f>E61</f>
        <v>2.1</v>
      </c>
      <c r="F56" s="148"/>
      <c r="G56" s="149">
        <f>ROUND(E56*F56,2)</f>
        <v>0</v>
      </c>
      <c r="H56" s="149"/>
      <c r="I56" s="149"/>
      <c r="J56" s="149"/>
      <c r="K56" s="149"/>
      <c r="L56" s="149"/>
      <c r="M56" s="149"/>
      <c r="N56" s="181">
        <v>0</v>
      </c>
      <c r="O56" s="145">
        <f>ROUND(E56*N56,2)</f>
        <v>0</v>
      </c>
      <c r="P56" s="145">
        <v>1.584E-2</v>
      </c>
      <c r="Q56" s="145">
        <f>ROUND(E56*P56,2)</f>
        <v>0.03</v>
      </c>
      <c r="R56" s="149"/>
      <c r="S56" s="149"/>
      <c r="T56" s="150"/>
      <c r="U56" s="149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40"/>
      <c r="BB56" s="137"/>
      <c r="BC56" s="137"/>
      <c r="BD56" s="137"/>
      <c r="BE56" s="137"/>
      <c r="BF56" s="137"/>
      <c r="BG56" s="137"/>
      <c r="BH56" s="137"/>
    </row>
    <row r="57" spans="1:60" ht="22.5" customHeight="1" outlineLevel="1" x14ac:dyDescent="0.2">
      <c r="A57" s="138"/>
      <c r="B57" s="167"/>
      <c r="C57" s="230" t="s">
        <v>215</v>
      </c>
      <c r="D57" s="143"/>
      <c r="E57" s="180"/>
      <c r="F57" s="165"/>
      <c r="G57" s="175"/>
      <c r="H57" s="149"/>
      <c r="I57" s="149"/>
      <c r="J57" s="149"/>
      <c r="K57" s="149"/>
      <c r="L57" s="149"/>
      <c r="M57" s="149"/>
      <c r="N57" s="181"/>
      <c r="O57" s="145"/>
      <c r="P57" s="245"/>
      <c r="Q57" s="145"/>
      <c r="R57" s="149"/>
      <c r="S57" s="149"/>
      <c r="T57" s="150"/>
      <c r="U57" s="149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40"/>
      <c r="BB57" s="137"/>
      <c r="BC57" s="137"/>
      <c r="BD57" s="137"/>
      <c r="BE57" s="137"/>
      <c r="BF57" s="137"/>
      <c r="BG57" s="137"/>
      <c r="BH57" s="137"/>
    </row>
    <row r="58" spans="1:60" ht="12" customHeight="1" outlineLevel="1" x14ac:dyDescent="0.2">
      <c r="A58" s="138"/>
      <c r="B58" s="167"/>
      <c r="C58" s="202" t="s">
        <v>158</v>
      </c>
      <c r="D58" s="143"/>
      <c r="E58" s="146">
        <f>2*0.5</f>
        <v>1</v>
      </c>
      <c r="F58" s="165"/>
      <c r="G58" s="175"/>
      <c r="H58" s="149"/>
      <c r="I58" s="149"/>
      <c r="J58" s="149"/>
      <c r="K58" s="149"/>
      <c r="L58" s="149"/>
      <c r="M58" s="149"/>
      <c r="N58" s="181"/>
      <c r="O58" s="145"/>
      <c r="P58" s="245"/>
      <c r="Q58" s="145"/>
      <c r="R58" s="149"/>
      <c r="S58" s="149"/>
      <c r="T58" s="150"/>
      <c r="U58" s="149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40"/>
      <c r="BB58" s="137"/>
      <c r="BC58" s="137"/>
      <c r="BD58" s="137"/>
      <c r="BE58" s="137"/>
      <c r="BF58" s="137"/>
      <c r="BG58" s="137"/>
      <c r="BH58" s="137"/>
    </row>
    <row r="59" spans="1:60" ht="12" customHeight="1" outlineLevel="1" x14ac:dyDescent="0.2">
      <c r="A59" s="138"/>
      <c r="B59" s="167"/>
      <c r="C59" s="230" t="s">
        <v>216</v>
      </c>
      <c r="D59" s="143"/>
      <c r="E59" s="180"/>
      <c r="F59" s="165"/>
      <c r="G59" s="175"/>
      <c r="H59" s="149"/>
      <c r="I59" s="149"/>
      <c r="J59" s="149"/>
      <c r="K59" s="149"/>
      <c r="L59" s="149"/>
      <c r="M59" s="149"/>
      <c r="N59" s="181"/>
      <c r="O59" s="145"/>
      <c r="P59" s="245"/>
      <c r="Q59" s="145"/>
      <c r="R59" s="149"/>
      <c r="S59" s="149"/>
      <c r="T59" s="150"/>
      <c r="U59" s="149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40"/>
      <c r="BB59" s="137"/>
      <c r="BC59" s="137"/>
      <c r="BD59" s="137"/>
      <c r="BE59" s="137"/>
      <c r="BF59" s="137"/>
      <c r="BG59" s="137"/>
      <c r="BH59" s="137"/>
    </row>
    <row r="60" spans="1:60" ht="12" customHeight="1" outlineLevel="1" x14ac:dyDescent="0.2">
      <c r="A60" s="138"/>
      <c r="B60" s="167"/>
      <c r="C60" s="201">
        <v>1.1000000000000001</v>
      </c>
      <c r="D60" s="143"/>
      <c r="E60" s="171">
        <v>1.1000000000000001</v>
      </c>
      <c r="F60" s="165"/>
      <c r="G60" s="175"/>
      <c r="H60" s="149"/>
      <c r="I60" s="149"/>
      <c r="J60" s="149"/>
      <c r="K60" s="149"/>
      <c r="L60" s="149"/>
      <c r="M60" s="149"/>
      <c r="N60" s="181"/>
      <c r="O60" s="145"/>
      <c r="P60" s="245"/>
      <c r="Q60" s="145"/>
      <c r="R60" s="149"/>
      <c r="S60" s="149"/>
      <c r="T60" s="150"/>
      <c r="U60" s="149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40"/>
      <c r="BB60" s="137"/>
      <c r="BC60" s="137"/>
      <c r="BD60" s="137"/>
      <c r="BE60" s="137"/>
      <c r="BF60" s="137"/>
      <c r="BG60" s="137"/>
      <c r="BH60" s="137"/>
    </row>
    <row r="61" spans="1:60" ht="12" customHeight="1" outlineLevel="1" x14ac:dyDescent="0.2">
      <c r="A61" s="166"/>
      <c r="B61" s="214"/>
      <c r="C61" s="248"/>
      <c r="D61" s="168"/>
      <c r="E61" s="171">
        <f>SUM(E58:E60)</f>
        <v>2.1</v>
      </c>
      <c r="F61" s="193"/>
      <c r="G61" s="177"/>
      <c r="H61" s="154"/>
      <c r="I61" s="154"/>
      <c r="J61" s="154"/>
      <c r="K61" s="154"/>
      <c r="L61" s="154"/>
      <c r="M61" s="154"/>
      <c r="N61" s="219"/>
      <c r="O61" s="169"/>
      <c r="P61" s="220"/>
      <c r="Q61" s="169"/>
      <c r="R61" s="149"/>
      <c r="S61" s="149"/>
      <c r="T61" s="150"/>
      <c r="U61" s="149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40"/>
      <c r="BB61" s="137"/>
      <c r="BC61" s="137"/>
      <c r="BD61" s="137"/>
      <c r="BE61" s="137"/>
      <c r="BF61" s="137"/>
      <c r="BG61" s="137"/>
      <c r="BH61" s="137"/>
    </row>
    <row r="62" spans="1:60" ht="12" customHeight="1" outlineLevel="1" x14ac:dyDescent="0.2">
      <c r="A62" s="138">
        <v>18</v>
      </c>
      <c r="B62" s="167">
        <v>762331934</v>
      </c>
      <c r="C62" s="191" t="s">
        <v>217</v>
      </c>
      <c r="D62" s="173" t="s">
        <v>94</v>
      </c>
      <c r="E62" s="146">
        <f>E64</f>
        <v>8.3000000000000007</v>
      </c>
      <c r="F62" s="148"/>
      <c r="G62" s="149">
        <f>ROUND(E62*F62,2)</f>
        <v>0</v>
      </c>
      <c r="H62" s="149"/>
      <c r="I62" s="149"/>
      <c r="J62" s="149"/>
      <c r="K62" s="149"/>
      <c r="L62" s="149"/>
      <c r="M62" s="149"/>
      <c r="N62" s="181">
        <v>0</v>
      </c>
      <c r="O62" s="145">
        <f>ROUND(E62*N62,2)</f>
        <v>0</v>
      </c>
      <c r="P62" s="145">
        <v>1.584E-2</v>
      </c>
      <c r="Q62" s="145">
        <f>ROUND(E62*P62,2)</f>
        <v>0.13</v>
      </c>
      <c r="R62" s="149"/>
      <c r="S62" s="149"/>
      <c r="T62" s="150"/>
      <c r="U62" s="149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40"/>
      <c r="BB62" s="137"/>
      <c r="BC62" s="137"/>
      <c r="BD62" s="137"/>
      <c r="BE62" s="137"/>
      <c r="BF62" s="137"/>
      <c r="BG62" s="137"/>
      <c r="BH62" s="137"/>
    </row>
    <row r="63" spans="1:60" ht="12" customHeight="1" outlineLevel="1" x14ac:dyDescent="0.2">
      <c r="A63" s="138"/>
      <c r="B63" s="167"/>
      <c r="C63" s="230" t="s">
        <v>218</v>
      </c>
      <c r="D63" s="143"/>
      <c r="E63" s="180"/>
      <c r="F63" s="165"/>
      <c r="G63" s="175"/>
      <c r="H63" s="149"/>
      <c r="I63" s="149"/>
      <c r="J63" s="149"/>
      <c r="K63" s="149"/>
      <c r="L63" s="149"/>
      <c r="M63" s="149"/>
      <c r="N63" s="181"/>
      <c r="O63" s="145"/>
      <c r="P63" s="245"/>
      <c r="Q63" s="145"/>
      <c r="R63" s="149"/>
      <c r="S63" s="149"/>
      <c r="T63" s="150"/>
      <c r="U63" s="149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40"/>
      <c r="BB63" s="137"/>
      <c r="BC63" s="137"/>
      <c r="BD63" s="137"/>
      <c r="BE63" s="137"/>
      <c r="BF63" s="137"/>
      <c r="BG63" s="137"/>
      <c r="BH63" s="137"/>
    </row>
    <row r="64" spans="1:60" ht="12" customHeight="1" outlineLevel="1" x14ac:dyDescent="0.2">
      <c r="A64" s="166"/>
      <c r="B64" s="214"/>
      <c r="C64" s="200">
        <v>8.3000000000000007</v>
      </c>
      <c r="D64" s="168"/>
      <c r="E64" s="171">
        <v>8.3000000000000007</v>
      </c>
      <c r="F64" s="193"/>
      <c r="G64" s="177"/>
      <c r="H64" s="154"/>
      <c r="I64" s="154"/>
      <c r="J64" s="154"/>
      <c r="K64" s="154"/>
      <c r="L64" s="154"/>
      <c r="M64" s="154"/>
      <c r="N64" s="219"/>
      <c r="O64" s="169"/>
      <c r="P64" s="220"/>
      <c r="Q64" s="169"/>
      <c r="R64" s="149"/>
      <c r="S64" s="149"/>
      <c r="T64" s="150"/>
      <c r="U64" s="149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40"/>
      <c r="BB64" s="137"/>
      <c r="BC64" s="137"/>
      <c r="BD64" s="137"/>
      <c r="BE64" s="137"/>
      <c r="BF64" s="137"/>
      <c r="BG64" s="137"/>
      <c r="BH64" s="137"/>
    </row>
    <row r="65" spans="1:60" ht="12" customHeight="1" outlineLevel="1" x14ac:dyDescent="0.2">
      <c r="A65" s="138">
        <v>19</v>
      </c>
      <c r="B65" s="167">
        <v>762331944</v>
      </c>
      <c r="C65" s="191" t="s">
        <v>219</v>
      </c>
      <c r="D65" s="173" t="s">
        <v>94</v>
      </c>
      <c r="E65" s="180">
        <f>E67</f>
        <v>8.3000000000000007</v>
      </c>
      <c r="F65" s="148"/>
      <c r="G65" s="149">
        <f>ROUND(E65*F65,2)</f>
        <v>0</v>
      </c>
      <c r="H65" s="149"/>
      <c r="I65" s="149"/>
      <c r="J65" s="149"/>
      <c r="K65" s="149"/>
      <c r="L65" s="149"/>
      <c r="M65" s="149"/>
      <c r="N65" s="181">
        <v>0</v>
      </c>
      <c r="O65" s="145">
        <f>ROUND(E65*N65,2)</f>
        <v>0</v>
      </c>
      <c r="P65" s="145">
        <v>2.4750000000000001E-2</v>
      </c>
      <c r="Q65" s="145">
        <f>ROUND(E65*P65,2)</f>
        <v>0.21</v>
      </c>
      <c r="R65" s="149"/>
      <c r="S65" s="149"/>
      <c r="T65" s="150"/>
      <c r="U65" s="149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40"/>
      <c r="BB65" s="137"/>
      <c r="BC65" s="137"/>
      <c r="BD65" s="137"/>
      <c r="BE65" s="137"/>
      <c r="BF65" s="137"/>
      <c r="BG65" s="137"/>
      <c r="BH65" s="137"/>
    </row>
    <row r="66" spans="1:60" ht="12" customHeight="1" outlineLevel="1" x14ac:dyDescent="0.2">
      <c r="A66" s="138"/>
      <c r="B66" s="167"/>
      <c r="C66" s="230" t="s">
        <v>220</v>
      </c>
      <c r="D66" s="143"/>
      <c r="E66" s="180"/>
      <c r="F66" s="165"/>
      <c r="G66" s="175"/>
      <c r="H66" s="149"/>
      <c r="I66" s="149"/>
      <c r="J66" s="149"/>
      <c r="K66" s="149"/>
      <c r="L66" s="149"/>
      <c r="M66" s="149"/>
      <c r="N66" s="181"/>
      <c r="O66" s="145"/>
      <c r="P66" s="245"/>
      <c r="Q66" s="145"/>
      <c r="R66" s="149"/>
      <c r="S66" s="149"/>
      <c r="T66" s="150"/>
      <c r="U66" s="149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40"/>
      <c r="BB66" s="137"/>
      <c r="BC66" s="137"/>
      <c r="BD66" s="137"/>
      <c r="BE66" s="137"/>
      <c r="BF66" s="137"/>
      <c r="BG66" s="137"/>
      <c r="BH66" s="137"/>
    </row>
    <row r="67" spans="1:60" ht="12" customHeight="1" outlineLevel="1" x14ac:dyDescent="0.2">
      <c r="A67" s="166"/>
      <c r="B67" s="214"/>
      <c r="C67" s="200">
        <v>8.3000000000000007</v>
      </c>
      <c r="D67" s="168"/>
      <c r="E67" s="171">
        <v>8.3000000000000007</v>
      </c>
      <c r="F67" s="193"/>
      <c r="G67" s="177"/>
      <c r="H67" s="154"/>
      <c r="I67" s="154"/>
      <c r="J67" s="154"/>
      <c r="K67" s="154"/>
      <c r="L67" s="154"/>
      <c r="M67" s="154"/>
      <c r="N67" s="219"/>
      <c r="O67" s="169"/>
      <c r="P67" s="220"/>
      <c r="Q67" s="169"/>
      <c r="R67" s="149"/>
      <c r="S67" s="149"/>
      <c r="T67" s="150"/>
      <c r="U67" s="149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40"/>
      <c r="BB67" s="137"/>
      <c r="BC67" s="137"/>
      <c r="BD67" s="137"/>
      <c r="BE67" s="137"/>
      <c r="BF67" s="137"/>
      <c r="BG67" s="137"/>
      <c r="BH67" s="137"/>
    </row>
    <row r="68" spans="1:60" ht="12" customHeight="1" outlineLevel="1" x14ac:dyDescent="0.2">
      <c r="A68" s="138">
        <v>20</v>
      </c>
      <c r="B68" s="167">
        <v>762331951</v>
      </c>
      <c r="C68" s="191" t="s">
        <v>221</v>
      </c>
      <c r="D68" s="173" t="s">
        <v>94</v>
      </c>
      <c r="E68" s="180">
        <f>E70</f>
        <v>9</v>
      </c>
      <c r="F68" s="148"/>
      <c r="G68" s="149">
        <f>ROUND(E68*F68,2)</f>
        <v>0</v>
      </c>
      <c r="H68" s="149"/>
      <c r="I68" s="149"/>
      <c r="J68" s="149"/>
      <c r="K68" s="149"/>
      <c r="L68" s="149"/>
      <c r="M68" s="149"/>
      <c r="N68" s="181">
        <v>0</v>
      </c>
      <c r="O68" s="145">
        <f>ROUND(E68*N68,2)</f>
        <v>0</v>
      </c>
      <c r="P68" s="145">
        <v>3.3000000000000002E-2</v>
      </c>
      <c r="Q68" s="145">
        <f>ROUND(E68*P68,2)</f>
        <v>0.3</v>
      </c>
      <c r="R68" s="149"/>
      <c r="S68" s="149"/>
      <c r="T68" s="150"/>
      <c r="U68" s="149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/>
      <c r="AX68" s="137"/>
      <c r="AY68" s="137"/>
      <c r="AZ68" s="137"/>
      <c r="BA68" s="140"/>
      <c r="BB68" s="137"/>
      <c r="BC68" s="137"/>
      <c r="BD68" s="137"/>
      <c r="BE68" s="137"/>
      <c r="BF68" s="137"/>
      <c r="BG68" s="137"/>
      <c r="BH68" s="137"/>
    </row>
    <row r="69" spans="1:60" ht="12" customHeight="1" outlineLevel="1" x14ac:dyDescent="0.2">
      <c r="A69" s="138"/>
      <c r="B69" s="138"/>
      <c r="C69" s="230" t="s">
        <v>222</v>
      </c>
      <c r="D69" s="143"/>
      <c r="E69" s="146"/>
      <c r="F69" s="149"/>
      <c r="G69" s="204"/>
      <c r="H69" s="149"/>
      <c r="I69" s="149"/>
      <c r="J69" s="149"/>
      <c r="K69" s="149"/>
      <c r="L69" s="149"/>
      <c r="M69" s="149"/>
      <c r="N69" s="150"/>
      <c r="O69" s="178"/>
      <c r="P69" s="175"/>
      <c r="Q69" s="149"/>
      <c r="R69" s="149"/>
      <c r="S69" s="149"/>
      <c r="T69" s="150"/>
      <c r="U69" s="149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  <c r="AY69" s="137"/>
      <c r="AZ69" s="137"/>
      <c r="BA69" s="140"/>
      <c r="BB69" s="137"/>
      <c r="BC69" s="137"/>
      <c r="BD69" s="137"/>
      <c r="BE69" s="137"/>
      <c r="BF69" s="137"/>
      <c r="BG69" s="137"/>
      <c r="BH69" s="137"/>
    </row>
    <row r="70" spans="1:60" ht="12" customHeight="1" outlineLevel="1" x14ac:dyDescent="0.2">
      <c r="A70" s="166"/>
      <c r="B70" s="166"/>
      <c r="C70" s="227" t="s">
        <v>223</v>
      </c>
      <c r="D70" s="168"/>
      <c r="E70" s="171">
        <f>3*2+3</f>
        <v>9</v>
      </c>
      <c r="F70" s="154"/>
      <c r="G70" s="205"/>
      <c r="H70" s="154"/>
      <c r="I70" s="154"/>
      <c r="J70" s="154"/>
      <c r="K70" s="154"/>
      <c r="L70" s="154"/>
      <c r="M70" s="154"/>
      <c r="N70" s="176"/>
      <c r="O70" s="174"/>
      <c r="P70" s="177"/>
      <c r="Q70" s="154"/>
      <c r="R70" s="149"/>
      <c r="S70" s="149"/>
      <c r="T70" s="150"/>
      <c r="U70" s="149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40"/>
      <c r="BB70" s="137"/>
      <c r="BC70" s="137"/>
      <c r="BD70" s="137"/>
      <c r="BE70" s="137"/>
      <c r="BF70" s="137"/>
      <c r="BG70" s="137"/>
      <c r="BH70" s="137"/>
    </row>
    <row r="71" spans="1:60" ht="12" customHeight="1" outlineLevel="1" x14ac:dyDescent="0.2">
      <c r="A71" s="138">
        <v>21</v>
      </c>
      <c r="B71" s="167">
        <v>762332532</v>
      </c>
      <c r="C71" s="160" t="s">
        <v>224</v>
      </c>
      <c r="D71" s="142" t="s">
        <v>94</v>
      </c>
      <c r="E71" s="255">
        <f>E89</f>
        <v>435.1</v>
      </c>
      <c r="F71" s="148"/>
      <c r="G71" s="149">
        <f>ROUND(E71*F71,2)</f>
        <v>0</v>
      </c>
      <c r="H71" s="149"/>
      <c r="I71" s="149"/>
      <c r="J71" s="149"/>
      <c r="K71" s="149"/>
      <c r="L71" s="149"/>
      <c r="M71" s="149"/>
      <c r="N71" s="181">
        <v>0</v>
      </c>
      <c r="O71" s="145">
        <f>ROUND(E71*N71,2)</f>
        <v>0</v>
      </c>
      <c r="P71" s="145">
        <v>0</v>
      </c>
      <c r="Q71" s="145">
        <f>ROUND(E71*P71,2)</f>
        <v>0</v>
      </c>
      <c r="R71" s="149"/>
      <c r="S71" s="149"/>
      <c r="T71" s="150"/>
      <c r="U71" s="149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40"/>
      <c r="BB71" s="137"/>
      <c r="BC71" s="137"/>
      <c r="BD71" s="137"/>
      <c r="BE71" s="137"/>
      <c r="BF71" s="137"/>
      <c r="BG71" s="137"/>
      <c r="BH71" s="137"/>
    </row>
    <row r="72" spans="1:60" ht="12" customHeight="1" outlineLevel="1" x14ac:dyDescent="0.2">
      <c r="A72" s="138"/>
      <c r="B72" s="167"/>
      <c r="C72" s="230" t="s">
        <v>126</v>
      </c>
      <c r="D72" s="142"/>
      <c r="E72" s="180"/>
      <c r="F72" s="165"/>
      <c r="G72" s="149"/>
      <c r="H72" s="149"/>
      <c r="I72" s="149"/>
      <c r="J72" s="149"/>
      <c r="K72" s="149"/>
      <c r="L72" s="149"/>
      <c r="M72" s="149"/>
      <c r="N72" s="181"/>
      <c r="O72" s="145"/>
      <c r="P72" s="145"/>
      <c r="Q72" s="145"/>
      <c r="R72" s="149"/>
      <c r="S72" s="149"/>
      <c r="T72" s="150"/>
      <c r="U72" s="149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40"/>
      <c r="BB72" s="137"/>
      <c r="BC72" s="137"/>
      <c r="BD72" s="137"/>
      <c r="BE72" s="137"/>
      <c r="BF72" s="137"/>
      <c r="BG72" s="137"/>
      <c r="BH72" s="137"/>
    </row>
    <row r="73" spans="1:60" ht="12" customHeight="1" outlineLevel="1" x14ac:dyDescent="0.2">
      <c r="A73" s="138"/>
      <c r="B73" s="167"/>
      <c r="C73" s="230" t="s">
        <v>128</v>
      </c>
      <c r="D73" s="142"/>
      <c r="E73" s="180"/>
      <c r="F73" s="165"/>
      <c r="G73" s="149"/>
      <c r="H73" s="149"/>
      <c r="I73" s="149"/>
      <c r="J73" s="149"/>
      <c r="K73" s="149"/>
      <c r="L73" s="149"/>
      <c r="M73" s="149"/>
      <c r="N73" s="181"/>
      <c r="O73" s="145"/>
      <c r="P73" s="145"/>
      <c r="Q73" s="145"/>
      <c r="R73" s="149"/>
      <c r="S73" s="149"/>
      <c r="T73" s="150"/>
      <c r="U73" s="149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7"/>
      <c r="AL73" s="137"/>
      <c r="AM73" s="137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40"/>
      <c r="BB73" s="137"/>
      <c r="BC73" s="137"/>
      <c r="BD73" s="137"/>
      <c r="BE73" s="137"/>
      <c r="BF73" s="137"/>
      <c r="BG73" s="137"/>
      <c r="BH73" s="137"/>
    </row>
    <row r="74" spans="1:60" ht="12" customHeight="1" outlineLevel="1" x14ac:dyDescent="0.2">
      <c r="A74" s="138"/>
      <c r="B74" s="167"/>
      <c r="C74" s="230" t="s">
        <v>129</v>
      </c>
      <c r="D74" s="142"/>
      <c r="E74" s="180"/>
      <c r="F74" s="165"/>
      <c r="G74" s="149"/>
      <c r="H74" s="149"/>
      <c r="I74" s="149"/>
      <c r="J74" s="149"/>
      <c r="K74" s="149"/>
      <c r="L74" s="149"/>
      <c r="M74" s="149"/>
      <c r="N74" s="181"/>
      <c r="O74" s="145"/>
      <c r="P74" s="145"/>
      <c r="Q74" s="145"/>
      <c r="R74" s="149"/>
      <c r="S74" s="149"/>
      <c r="T74" s="150"/>
      <c r="U74" s="149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40"/>
      <c r="BB74" s="137"/>
      <c r="BC74" s="137"/>
      <c r="BD74" s="137"/>
      <c r="BE74" s="137"/>
      <c r="BF74" s="137"/>
      <c r="BG74" s="137"/>
      <c r="BH74" s="137"/>
    </row>
    <row r="75" spans="1:60" ht="12" customHeight="1" outlineLevel="1" x14ac:dyDescent="0.2">
      <c r="A75" s="138"/>
      <c r="B75" s="167"/>
      <c r="C75" s="202" t="s">
        <v>127</v>
      </c>
      <c r="D75" s="143"/>
      <c r="E75" s="146">
        <f>(4*12.5)+(4*10.8)</f>
        <v>93.2</v>
      </c>
      <c r="F75" s="165"/>
      <c r="G75" s="149"/>
      <c r="H75" s="149"/>
      <c r="I75" s="149"/>
      <c r="J75" s="149"/>
      <c r="K75" s="149"/>
      <c r="L75" s="149"/>
      <c r="M75" s="149"/>
      <c r="N75" s="181"/>
      <c r="O75" s="145"/>
      <c r="P75" s="145"/>
      <c r="Q75" s="145"/>
      <c r="R75" s="149"/>
      <c r="S75" s="149"/>
      <c r="T75" s="150"/>
      <c r="U75" s="149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40"/>
      <c r="BB75" s="137"/>
      <c r="BC75" s="137"/>
      <c r="BD75" s="137"/>
      <c r="BE75" s="137"/>
      <c r="BF75" s="137"/>
      <c r="BG75" s="137"/>
      <c r="BH75" s="137"/>
    </row>
    <row r="76" spans="1:60" ht="12" customHeight="1" outlineLevel="1" x14ac:dyDescent="0.2">
      <c r="A76" s="138"/>
      <c r="B76" s="167"/>
      <c r="C76" s="230" t="s">
        <v>130</v>
      </c>
      <c r="D76" s="142"/>
      <c r="E76" s="180"/>
      <c r="F76" s="165"/>
      <c r="G76" s="149"/>
      <c r="H76" s="149"/>
      <c r="I76" s="149"/>
      <c r="J76" s="149"/>
      <c r="K76" s="149"/>
      <c r="L76" s="149"/>
      <c r="M76" s="149"/>
      <c r="N76" s="181"/>
      <c r="O76" s="145"/>
      <c r="P76" s="145"/>
      <c r="Q76" s="145"/>
      <c r="R76" s="149"/>
      <c r="S76" s="149"/>
      <c r="T76" s="150"/>
      <c r="U76" s="149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40"/>
      <c r="BB76" s="137"/>
      <c r="BC76" s="137"/>
      <c r="BD76" s="137"/>
      <c r="BE76" s="137"/>
      <c r="BF76" s="137"/>
      <c r="BG76" s="137"/>
      <c r="BH76" s="137"/>
    </row>
    <row r="77" spans="1:60" ht="12" customHeight="1" outlineLevel="1" x14ac:dyDescent="0.2">
      <c r="A77" s="138"/>
      <c r="B77" s="167"/>
      <c r="C77" s="230" t="s">
        <v>131</v>
      </c>
      <c r="D77" s="142"/>
      <c r="E77" s="180"/>
      <c r="F77" s="165"/>
      <c r="G77" s="149"/>
      <c r="H77" s="149"/>
      <c r="I77" s="149"/>
      <c r="J77" s="149"/>
      <c r="K77" s="149"/>
      <c r="L77" s="149"/>
      <c r="M77" s="149"/>
      <c r="N77" s="181"/>
      <c r="O77" s="145"/>
      <c r="P77" s="145"/>
      <c r="Q77" s="145"/>
      <c r="R77" s="149"/>
      <c r="S77" s="149"/>
      <c r="T77" s="150"/>
      <c r="U77" s="149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40"/>
      <c r="BB77" s="137"/>
      <c r="BC77" s="137"/>
      <c r="BD77" s="137"/>
      <c r="BE77" s="137"/>
      <c r="BF77" s="137"/>
      <c r="BG77" s="137"/>
      <c r="BH77" s="137"/>
    </row>
    <row r="78" spans="1:60" ht="12" customHeight="1" outlineLevel="1" x14ac:dyDescent="0.2">
      <c r="A78" s="138"/>
      <c r="B78" s="167"/>
      <c r="C78" s="230" t="s">
        <v>132</v>
      </c>
      <c r="D78" s="142"/>
      <c r="E78" s="180"/>
      <c r="F78" s="165"/>
      <c r="G78" s="149"/>
      <c r="H78" s="149"/>
      <c r="I78" s="149"/>
      <c r="J78" s="149"/>
      <c r="K78" s="149"/>
      <c r="L78" s="149"/>
      <c r="M78" s="149"/>
      <c r="N78" s="181"/>
      <c r="O78" s="145"/>
      <c r="P78" s="145"/>
      <c r="Q78" s="145"/>
      <c r="R78" s="149"/>
      <c r="S78" s="149"/>
      <c r="T78" s="150"/>
      <c r="U78" s="149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40"/>
      <c r="BB78" s="137"/>
      <c r="BC78" s="137"/>
      <c r="BD78" s="137"/>
      <c r="BE78" s="137"/>
      <c r="BF78" s="137"/>
      <c r="BG78" s="137"/>
      <c r="BH78" s="137"/>
    </row>
    <row r="79" spans="1:60" ht="12" customHeight="1" outlineLevel="1" x14ac:dyDescent="0.2">
      <c r="A79" s="138"/>
      <c r="B79" s="167"/>
      <c r="C79" s="202" t="s">
        <v>133</v>
      </c>
      <c r="D79" s="142"/>
      <c r="E79" s="146">
        <f>(5*2.8)+(5*2.6)</f>
        <v>27</v>
      </c>
      <c r="F79" s="165"/>
      <c r="G79" s="149"/>
      <c r="H79" s="149"/>
      <c r="I79" s="149"/>
      <c r="J79" s="149"/>
      <c r="K79" s="149"/>
      <c r="L79" s="149"/>
      <c r="M79" s="149"/>
      <c r="N79" s="181"/>
      <c r="O79" s="145"/>
      <c r="P79" s="145"/>
      <c r="Q79" s="145"/>
      <c r="R79" s="149"/>
      <c r="S79" s="149"/>
      <c r="T79" s="150"/>
      <c r="U79" s="149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7"/>
      <c r="AY79" s="137"/>
      <c r="AZ79" s="137"/>
      <c r="BA79" s="140"/>
      <c r="BB79" s="137"/>
      <c r="BC79" s="137"/>
      <c r="BD79" s="137"/>
      <c r="BE79" s="137"/>
      <c r="BF79" s="137"/>
      <c r="BG79" s="137"/>
      <c r="BH79" s="137"/>
    </row>
    <row r="80" spans="1:60" ht="12" customHeight="1" outlineLevel="1" x14ac:dyDescent="0.2">
      <c r="A80" s="138"/>
      <c r="B80" s="167"/>
      <c r="C80" s="230" t="s">
        <v>134</v>
      </c>
      <c r="D80" s="142"/>
      <c r="E80" s="146"/>
      <c r="F80" s="165"/>
      <c r="G80" s="149"/>
      <c r="H80" s="149"/>
      <c r="I80" s="149"/>
      <c r="J80" s="149"/>
      <c r="K80" s="149"/>
      <c r="L80" s="149"/>
      <c r="M80" s="149"/>
      <c r="N80" s="181"/>
      <c r="O80" s="145"/>
      <c r="P80" s="145"/>
      <c r="Q80" s="145"/>
      <c r="R80" s="149"/>
      <c r="S80" s="149"/>
      <c r="T80" s="150"/>
      <c r="U80" s="149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40"/>
      <c r="BB80" s="137"/>
      <c r="BC80" s="137"/>
      <c r="BD80" s="137"/>
      <c r="BE80" s="137"/>
      <c r="BF80" s="137"/>
      <c r="BG80" s="137"/>
      <c r="BH80" s="137"/>
    </row>
    <row r="81" spans="1:60" ht="12" customHeight="1" outlineLevel="1" x14ac:dyDescent="0.2">
      <c r="A81" s="194"/>
      <c r="B81" s="167"/>
      <c r="C81" s="230" t="s">
        <v>135</v>
      </c>
      <c r="D81" s="142"/>
      <c r="E81" s="145"/>
      <c r="F81" s="165"/>
      <c r="G81" s="149"/>
      <c r="H81" s="148"/>
      <c r="I81" s="149"/>
      <c r="J81" s="148"/>
      <c r="K81" s="149"/>
      <c r="L81" s="149"/>
      <c r="M81" s="149"/>
      <c r="N81" s="149"/>
      <c r="O81" s="149"/>
      <c r="P81" s="149"/>
      <c r="Q81" s="149"/>
      <c r="R81" s="149"/>
      <c r="S81" s="149"/>
      <c r="T81" s="150"/>
      <c r="U81" s="149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40"/>
      <c r="BB81" s="137"/>
      <c r="BC81" s="137"/>
      <c r="BD81" s="137"/>
      <c r="BE81" s="137"/>
      <c r="BF81" s="137"/>
      <c r="BG81" s="137"/>
      <c r="BH81" s="137"/>
    </row>
    <row r="82" spans="1:60" ht="12" customHeight="1" outlineLevel="1" x14ac:dyDescent="0.2">
      <c r="A82" s="194"/>
      <c r="B82" s="167"/>
      <c r="C82" s="202" t="s">
        <v>188</v>
      </c>
      <c r="D82" s="142"/>
      <c r="E82" s="146">
        <f>8*1.5</f>
        <v>12</v>
      </c>
      <c r="F82" s="165"/>
      <c r="G82" s="175"/>
      <c r="H82" s="148"/>
      <c r="I82" s="149"/>
      <c r="J82" s="148"/>
      <c r="K82" s="149"/>
      <c r="L82" s="149"/>
      <c r="M82" s="149"/>
      <c r="N82" s="150"/>
      <c r="O82" s="149"/>
      <c r="P82" s="175"/>
      <c r="Q82" s="149"/>
      <c r="R82" s="149"/>
      <c r="S82" s="149"/>
      <c r="T82" s="150"/>
      <c r="U82" s="149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40"/>
      <c r="BB82" s="137"/>
      <c r="BC82" s="137"/>
      <c r="BD82" s="137"/>
      <c r="BE82" s="137"/>
      <c r="BF82" s="137"/>
      <c r="BG82" s="137"/>
      <c r="BH82" s="137"/>
    </row>
    <row r="83" spans="1:60" ht="12" customHeight="1" outlineLevel="1" x14ac:dyDescent="0.2">
      <c r="A83" s="194"/>
      <c r="B83" s="167"/>
      <c r="C83" s="230" t="s">
        <v>189</v>
      </c>
      <c r="D83" s="142"/>
      <c r="E83" s="145"/>
      <c r="F83" s="165"/>
      <c r="G83" s="175"/>
      <c r="H83" s="148"/>
      <c r="I83" s="149"/>
      <c r="J83" s="148"/>
      <c r="K83" s="149"/>
      <c r="L83" s="149"/>
      <c r="M83" s="149"/>
      <c r="N83" s="150"/>
      <c r="O83" s="149"/>
      <c r="P83" s="175"/>
      <c r="Q83" s="149"/>
      <c r="R83" s="149"/>
      <c r="S83" s="149"/>
      <c r="T83" s="150"/>
      <c r="U83" s="149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40"/>
      <c r="BB83" s="137"/>
      <c r="BC83" s="137"/>
      <c r="BD83" s="137"/>
      <c r="BE83" s="137"/>
      <c r="BF83" s="137"/>
      <c r="BG83" s="137"/>
      <c r="BH83" s="137"/>
    </row>
    <row r="84" spans="1:60" ht="24.75" customHeight="1" outlineLevel="1" x14ac:dyDescent="0.2">
      <c r="A84" s="194"/>
      <c r="B84" s="167"/>
      <c r="C84" s="230" t="s">
        <v>190</v>
      </c>
      <c r="D84" s="142"/>
      <c r="E84" s="145"/>
      <c r="F84" s="165"/>
      <c r="G84" s="175"/>
      <c r="H84" s="148"/>
      <c r="I84" s="149"/>
      <c r="J84" s="148"/>
      <c r="K84" s="149"/>
      <c r="L84" s="149"/>
      <c r="M84" s="149"/>
      <c r="N84" s="150"/>
      <c r="O84" s="149"/>
      <c r="P84" s="175"/>
      <c r="Q84" s="149"/>
      <c r="R84" s="149"/>
      <c r="S84" s="149"/>
      <c r="T84" s="150"/>
      <c r="U84" s="149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40"/>
      <c r="BB84" s="137"/>
      <c r="BC84" s="137"/>
      <c r="BD84" s="137"/>
      <c r="BE84" s="137"/>
      <c r="BF84" s="137"/>
      <c r="BG84" s="137"/>
      <c r="BH84" s="137"/>
    </row>
    <row r="85" spans="1:60" ht="12" customHeight="1" outlineLevel="1" x14ac:dyDescent="0.2">
      <c r="A85" s="194"/>
      <c r="B85" s="167"/>
      <c r="C85" s="230" t="s">
        <v>192</v>
      </c>
      <c r="D85" s="142"/>
      <c r="E85" s="145"/>
      <c r="F85" s="165"/>
      <c r="G85" s="175"/>
      <c r="H85" s="148"/>
      <c r="I85" s="149"/>
      <c r="J85" s="148"/>
      <c r="K85" s="149"/>
      <c r="L85" s="149"/>
      <c r="M85" s="149"/>
      <c r="N85" s="150"/>
      <c r="O85" s="149"/>
      <c r="P85" s="175"/>
      <c r="Q85" s="149"/>
      <c r="R85" s="149"/>
      <c r="S85" s="149"/>
      <c r="T85" s="150"/>
      <c r="U85" s="149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40"/>
      <c r="BB85" s="137"/>
      <c r="BC85" s="137"/>
      <c r="BD85" s="137"/>
      <c r="BE85" s="137"/>
      <c r="BF85" s="137"/>
      <c r="BG85" s="137"/>
      <c r="BH85" s="137"/>
    </row>
    <row r="86" spans="1:60" ht="12" customHeight="1" outlineLevel="1" x14ac:dyDescent="0.2">
      <c r="A86" s="194"/>
      <c r="B86" s="167"/>
      <c r="C86" s="202" t="s">
        <v>191</v>
      </c>
      <c r="D86" s="142"/>
      <c r="E86" s="146">
        <f>13*12.5</f>
        <v>162.5</v>
      </c>
      <c r="F86" s="165"/>
      <c r="G86" s="175"/>
      <c r="H86" s="148"/>
      <c r="I86" s="149"/>
      <c r="J86" s="148"/>
      <c r="K86" s="149"/>
      <c r="L86" s="149"/>
      <c r="M86" s="149"/>
      <c r="N86" s="150"/>
      <c r="O86" s="149"/>
      <c r="P86" s="175"/>
      <c r="Q86" s="149"/>
      <c r="R86" s="149"/>
      <c r="S86" s="149"/>
      <c r="T86" s="150"/>
      <c r="U86" s="149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40"/>
      <c r="BB86" s="137"/>
      <c r="BC86" s="137"/>
      <c r="BD86" s="137"/>
      <c r="BE86" s="137"/>
      <c r="BF86" s="137"/>
      <c r="BG86" s="137"/>
      <c r="BH86" s="137"/>
    </row>
    <row r="87" spans="1:60" ht="12" customHeight="1" outlineLevel="1" x14ac:dyDescent="0.2">
      <c r="A87" s="194"/>
      <c r="B87" s="167"/>
      <c r="C87" s="230" t="s">
        <v>193</v>
      </c>
      <c r="D87" s="142"/>
      <c r="E87" s="145"/>
      <c r="F87" s="165"/>
      <c r="G87" s="175"/>
      <c r="H87" s="148"/>
      <c r="I87" s="149"/>
      <c r="J87" s="148"/>
      <c r="K87" s="149"/>
      <c r="L87" s="149"/>
      <c r="M87" s="149"/>
      <c r="N87" s="150"/>
      <c r="O87" s="149"/>
      <c r="P87" s="175"/>
      <c r="Q87" s="149"/>
      <c r="R87" s="149"/>
      <c r="S87" s="149"/>
      <c r="T87" s="150"/>
      <c r="U87" s="149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40"/>
      <c r="BB87" s="137"/>
      <c r="BC87" s="137"/>
      <c r="BD87" s="137"/>
      <c r="BE87" s="137"/>
      <c r="BF87" s="137"/>
      <c r="BG87" s="137"/>
      <c r="BH87" s="137"/>
    </row>
    <row r="88" spans="1:60" ht="12" customHeight="1" outlineLevel="1" x14ac:dyDescent="0.2">
      <c r="A88" s="194"/>
      <c r="B88" s="167"/>
      <c r="C88" s="202" t="s">
        <v>194</v>
      </c>
      <c r="D88" s="142"/>
      <c r="E88" s="146">
        <f>13*10.8</f>
        <v>140.4</v>
      </c>
      <c r="F88" s="165"/>
      <c r="G88" s="175"/>
      <c r="H88" s="148"/>
      <c r="I88" s="149"/>
      <c r="J88" s="148"/>
      <c r="K88" s="149"/>
      <c r="L88" s="149"/>
      <c r="M88" s="149"/>
      <c r="N88" s="150"/>
      <c r="O88" s="149"/>
      <c r="P88" s="175"/>
      <c r="Q88" s="149"/>
      <c r="R88" s="149"/>
      <c r="S88" s="149"/>
      <c r="T88" s="150"/>
      <c r="U88" s="149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40"/>
      <c r="BB88" s="137"/>
      <c r="BC88" s="137"/>
      <c r="BD88" s="137"/>
      <c r="BE88" s="137"/>
      <c r="BF88" s="137"/>
      <c r="BG88" s="137"/>
      <c r="BH88" s="137"/>
    </row>
    <row r="89" spans="1:60" ht="12" customHeight="1" outlineLevel="1" x14ac:dyDescent="0.2">
      <c r="A89" s="199"/>
      <c r="B89" s="214"/>
      <c r="C89" s="227"/>
      <c r="D89" s="256"/>
      <c r="E89" s="246">
        <f>SUM(E75:E88)</f>
        <v>435.1</v>
      </c>
      <c r="F89" s="193"/>
      <c r="G89" s="177"/>
      <c r="H89" s="189"/>
      <c r="I89" s="154"/>
      <c r="J89" s="189"/>
      <c r="K89" s="154"/>
      <c r="L89" s="154"/>
      <c r="M89" s="154"/>
      <c r="N89" s="176"/>
      <c r="O89" s="154"/>
      <c r="P89" s="177"/>
      <c r="Q89" s="154"/>
      <c r="R89" s="149"/>
      <c r="S89" s="149"/>
      <c r="T89" s="150"/>
      <c r="U89" s="149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40"/>
      <c r="BB89" s="137"/>
      <c r="BC89" s="137"/>
      <c r="BD89" s="137"/>
      <c r="BE89" s="137"/>
      <c r="BF89" s="137"/>
      <c r="BG89" s="137"/>
      <c r="BH89" s="137"/>
    </row>
    <row r="90" spans="1:60" ht="12" customHeight="1" outlineLevel="1" x14ac:dyDescent="0.2">
      <c r="A90" s="138">
        <v>22</v>
      </c>
      <c r="B90" s="167">
        <v>762332533</v>
      </c>
      <c r="C90" s="160" t="s">
        <v>225</v>
      </c>
      <c r="D90" s="142" t="s">
        <v>94</v>
      </c>
      <c r="E90" s="255">
        <f>E94</f>
        <v>186.4</v>
      </c>
      <c r="F90" s="148"/>
      <c r="G90" s="149">
        <f>ROUND(E90*F90,2)</f>
        <v>0</v>
      </c>
      <c r="H90" s="149"/>
      <c r="I90" s="149"/>
      <c r="J90" s="149"/>
      <c r="K90" s="149"/>
      <c r="L90" s="149"/>
      <c r="M90" s="149"/>
      <c r="N90" s="181">
        <v>0</v>
      </c>
      <c r="O90" s="145">
        <f>ROUND(E90*N90,2)</f>
        <v>0</v>
      </c>
      <c r="P90" s="145">
        <v>0</v>
      </c>
      <c r="Q90" s="145">
        <f>ROUND(E90*P90,2)</f>
        <v>0</v>
      </c>
      <c r="R90" s="149"/>
      <c r="S90" s="149"/>
      <c r="T90" s="150"/>
      <c r="U90" s="149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40"/>
      <c r="BB90" s="137"/>
      <c r="BC90" s="137"/>
      <c r="BD90" s="137"/>
      <c r="BE90" s="137"/>
      <c r="BF90" s="137"/>
      <c r="BG90" s="137"/>
      <c r="BH90" s="137"/>
    </row>
    <row r="91" spans="1:60" ht="12" customHeight="1" outlineLevel="1" x14ac:dyDescent="0.2">
      <c r="A91" s="194"/>
      <c r="B91" s="167"/>
      <c r="C91" s="230" t="s">
        <v>205</v>
      </c>
      <c r="D91" s="206"/>
      <c r="E91" s="146"/>
      <c r="F91" s="165"/>
      <c r="G91" s="175"/>
      <c r="H91" s="148"/>
      <c r="I91" s="149"/>
      <c r="J91" s="148"/>
      <c r="K91" s="149"/>
      <c r="L91" s="149"/>
      <c r="M91" s="149"/>
      <c r="N91" s="150"/>
      <c r="O91" s="149"/>
      <c r="P91" s="175"/>
      <c r="Q91" s="149"/>
      <c r="R91" s="149"/>
      <c r="S91" s="149"/>
      <c r="T91" s="150"/>
      <c r="U91" s="149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40"/>
      <c r="BB91" s="137"/>
      <c r="BC91" s="137"/>
      <c r="BD91" s="137"/>
      <c r="BE91" s="137"/>
      <c r="BF91" s="137"/>
      <c r="BG91" s="137"/>
      <c r="BH91" s="137"/>
    </row>
    <row r="92" spans="1:60" ht="12" customHeight="1" outlineLevel="1" x14ac:dyDescent="0.2">
      <c r="A92" s="194"/>
      <c r="B92" s="167"/>
      <c r="C92" s="230" t="s">
        <v>154</v>
      </c>
      <c r="D92" s="206"/>
      <c r="E92" s="146"/>
      <c r="F92" s="165"/>
      <c r="G92" s="175"/>
      <c r="H92" s="148"/>
      <c r="I92" s="149"/>
      <c r="J92" s="148"/>
      <c r="K92" s="149"/>
      <c r="L92" s="149"/>
      <c r="M92" s="149"/>
      <c r="N92" s="150"/>
      <c r="O92" s="149"/>
      <c r="P92" s="175"/>
      <c r="Q92" s="149"/>
      <c r="R92" s="149"/>
      <c r="S92" s="149"/>
      <c r="T92" s="150"/>
      <c r="U92" s="149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40"/>
      <c r="BB92" s="137"/>
      <c r="BC92" s="137"/>
      <c r="BD92" s="137"/>
      <c r="BE92" s="137"/>
      <c r="BF92" s="137"/>
      <c r="BG92" s="137"/>
      <c r="BH92" s="137"/>
    </row>
    <row r="93" spans="1:60" ht="12" customHeight="1" outlineLevel="1" x14ac:dyDescent="0.2">
      <c r="A93" s="194"/>
      <c r="B93" s="167"/>
      <c r="C93" s="230" t="s">
        <v>155</v>
      </c>
      <c r="D93" s="206"/>
      <c r="E93" s="146"/>
      <c r="F93" s="165"/>
      <c r="G93" s="175"/>
      <c r="H93" s="148"/>
      <c r="I93" s="149"/>
      <c r="J93" s="148"/>
      <c r="K93" s="149"/>
      <c r="L93" s="149"/>
      <c r="M93" s="149"/>
      <c r="N93" s="150"/>
      <c r="O93" s="149"/>
      <c r="P93" s="175"/>
      <c r="Q93" s="149"/>
      <c r="R93" s="149"/>
      <c r="S93" s="149"/>
      <c r="T93" s="150"/>
      <c r="U93" s="149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40"/>
      <c r="BB93" s="137"/>
      <c r="BC93" s="137"/>
      <c r="BD93" s="137"/>
      <c r="BE93" s="137"/>
      <c r="BF93" s="137"/>
      <c r="BG93" s="137"/>
      <c r="BH93" s="137"/>
    </row>
    <row r="94" spans="1:60" ht="12" customHeight="1" outlineLevel="1" x14ac:dyDescent="0.2">
      <c r="A94" s="199"/>
      <c r="B94" s="214"/>
      <c r="C94" s="227" t="s">
        <v>156</v>
      </c>
      <c r="D94" s="188"/>
      <c r="E94" s="171">
        <f>(8*12.5)+(8*10.8)</f>
        <v>186.4</v>
      </c>
      <c r="F94" s="193"/>
      <c r="G94" s="177"/>
      <c r="H94" s="189"/>
      <c r="I94" s="154"/>
      <c r="J94" s="189"/>
      <c r="K94" s="154"/>
      <c r="L94" s="154"/>
      <c r="M94" s="154"/>
      <c r="N94" s="176"/>
      <c r="O94" s="154"/>
      <c r="P94" s="177"/>
      <c r="Q94" s="154"/>
      <c r="R94" s="149"/>
      <c r="S94" s="149"/>
      <c r="T94" s="150"/>
      <c r="U94" s="149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40"/>
      <c r="BB94" s="137"/>
      <c r="BC94" s="137"/>
      <c r="BD94" s="137"/>
      <c r="BE94" s="137"/>
      <c r="BF94" s="137"/>
      <c r="BG94" s="137"/>
      <c r="BH94" s="137"/>
    </row>
    <row r="95" spans="1:60" ht="12" customHeight="1" outlineLevel="1" x14ac:dyDescent="0.2">
      <c r="A95" s="138">
        <v>23</v>
      </c>
      <c r="B95" s="167">
        <v>762332932</v>
      </c>
      <c r="C95" s="160" t="s">
        <v>226</v>
      </c>
      <c r="D95" s="142" t="s">
        <v>94</v>
      </c>
      <c r="E95" s="255">
        <f>E119</f>
        <v>0.35698300000000005</v>
      </c>
      <c r="F95" s="148"/>
      <c r="G95" s="149">
        <f>ROUND(E95*F95,2)</f>
        <v>0</v>
      </c>
      <c r="H95" s="149"/>
      <c r="I95" s="149"/>
      <c r="J95" s="149"/>
      <c r="K95" s="149"/>
      <c r="L95" s="149"/>
      <c r="M95" s="149"/>
      <c r="N95" s="181">
        <v>8.0000000000000007E-5</v>
      </c>
      <c r="O95" s="145">
        <f>ROUND(E95*N95,2)</f>
        <v>0</v>
      </c>
      <c r="P95" s="145">
        <v>0</v>
      </c>
      <c r="Q95" s="145">
        <f>ROUND(E95*P95,2)</f>
        <v>0</v>
      </c>
      <c r="R95" s="149"/>
      <c r="S95" s="149"/>
      <c r="T95" s="150"/>
      <c r="U95" s="149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40"/>
      <c r="BB95" s="137"/>
      <c r="BC95" s="137"/>
      <c r="BD95" s="137"/>
      <c r="BE95" s="137"/>
      <c r="BF95" s="137"/>
      <c r="BG95" s="137"/>
      <c r="BH95" s="137"/>
    </row>
    <row r="96" spans="1:60" ht="12" customHeight="1" outlineLevel="1" x14ac:dyDescent="0.2">
      <c r="A96" s="138"/>
      <c r="B96" s="167"/>
      <c r="C96" s="230" t="s">
        <v>204</v>
      </c>
      <c r="D96" s="195"/>
      <c r="E96" s="196"/>
      <c r="F96" s="165"/>
      <c r="G96" s="175"/>
      <c r="H96" s="149"/>
      <c r="I96" s="149"/>
      <c r="J96" s="149"/>
      <c r="K96" s="149"/>
      <c r="L96" s="149"/>
      <c r="M96" s="149"/>
      <c r="N96" s="181"/>
      <c r="O96" s="145"/>
      <c r="P96" s="245"/>
      <c r="Q96" s="145"/>
      <c r="R96" s="149"/>
      <c r="S96" s="149"/>
      <c r="T96" s="150"/>
      <c r="U96" s="149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40"/>
      <c r="BB96" s="137"/>
      <c r="BC96" s="137"/>
      <c r="BD96" s="137"/>
      <c r="BE96" s="137"/>
      <c r="BF96" s="137"/>
      <c r="BG96" s="137"/>
      <c r="BH96" s="137"/>
    </row>
    <row r="97" spans="1:60" ht="12" customHeight="1" outlineLevel="1" x14ac:dyDescent="0.2">
      <c r="A97" s="138"/>
      <c r="B97" s="167"/>
      <c r="C97" s="230" t="s">
        <v>136</v>
      </c>
      <c r="D97" s="195"/>
      <c r="E97" s="196"/>
      <c r="F97" s="165"/>
      <c r="G97" s="175"/>
      <c r="H97" s="149"/>
      <c r="I97" s="149"/>
      <c r="J97" s="149"/>
      <c r="K97" s="149"/>
      <c r="L97" s="149"/>
      <c r="M97" s="149"/>
      <c r="N97" s="181"/>
      <c r="O97" s="145"/>
      <c r="P97" s="245"/>
      <c r="Q97" s="145"/>
      <c r="R97" s="149"/>
      <c r="S97" s="149"/>
      <c r="T97" s="150"/>
      <c r="U97" s="149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40"/>
      <c r="BB97" s="137"/>
      <c r="BC97" s="137"/>
      <c r="BD97" s="137"/>
      <c r="BE97" s="137"/>
      <c r="BF97" s="137"/>
      <c r="BG97" s="137"/>
      <c r="BH97" s="137"/>
    </row>
    <row r="98" spans="1:60" ht="12" customHeight="1" outlineLevel="1" x14ac:dyDescent="0.2">
      <c r="A98" s="166"/>
      <c r="B98" s="214"/>
      <c r="C98" s="227" t="s">
        <v>137</v>
      </c>
      <c r="D98" s="188"/>
      <c r="E98" s="171">
        <f>20*2.5</f>
        <v>50</v>
      </c>
      <c r="F98" s="193"/>
      <c r="G98" s="177"/>
      <c r="H98" s="154"/>
      <c r="I98" s="154"/>
      <c r="J98" s="154"/>
      <c r="K98" s="154"/>
      <c r="L98" s="154"/>
      <c r="M98" s="154"/>
      <c r="N98" s="219"/>
      <c r="O98" s="169"/>
      <c r="P98" s="220"/>
      <c r="Q98" s="169"/>
      <c r="R98" s="149"/>
      <c r="S98" s="149"/>
      <c r="T98" s="150"/>
      <c r="U98" s="149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40"/>
      <c r="BB98" s="137"/>
      <c r="BC98" s="137"/>
      <c r="BD98" s="137"/>
      <c r="BE98" s="137"/>
      <c r="BF98" s="137"/>
      <c r="BG98" s="137"/>
      <c r="BH98" s="137"/>
    </row>
    <row r="99" spans="1:60" ht="12" customHeight="1" outlineLevel="1" x14ac:dyDescent="0.2">
      <c r="A99" s="138">
        <v>24</v>
      </c>
      <c r="B99" s="167">
        <v>762332933</v>
      </c>
      <c r="C99" s="160" t="s">
        <v>227</v>
      </c>
      <c r="D99" s="142" t="s">
        <v>94</v>
      </c>
      <c r="E99" s="255">
        <f>E103</f>
        <v>9.4</v>
      </c>
      <c r="F99" s="148"/>
      <c r="G99" s="149">
        <f>ROUND(E99*F99,2)</f>
        <v>0</v>
      </c>
      <c r="H99" s="149"/>
      <c r="I99" s="149"/>
      <c r="J99" s="149"/>
      <c r="K99" s="149"/>
      <c r="L99" s="149"/>
      <c r="M99" s="149"/>
      <c r="N99" s="181">
        <v>9.0000000000000006E-5</v>
      </c>
      <c r="O99" s="145">
        <f>ROUND(E99*N99,2)</f>
        <v>0</v>
      </c>
      <c r="P99" s="145">
        <v>0</v>
      </c>
      <c r="Q99" s="145">
        <f>ROUND(E99*P99,2)</f>
        <v>0</v>
      </c>
      <c r="R99" s="149"/>
      <c r="S99" s="149"/>
      <c r="T99" s="150"/>
      <c r="U99" s="149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40"/>
      <c r="BB99" s="137"/>
      <c r="BC99" s="137"/>
      <c r="BD99" s="137"/>
      <c r="BE99" s="137"/>
      <c r="BF99" s="137"/>
      <c r="BG99" s="137"/>
      <c r="BH99" s="137"/>
    </row>
    <row r="100" spans="1:60" ht="12" customHeight="1" outlineLevel="1" x14ac:dyDescent="0.2">
      <c r="A100" s="138"/>
      <c r="B100" s="167"/>
      <c r="C100" s="230" t="s">
        <v>228</v>
      </c>
      <c r="D100" s="206"/>
      <c r="E100" s="257"/>
      <c r="F100" s="165"/>
      <c r="G100" s="175"/>
      <c r="H100" s="149"/>
      <c r="I100" s="149"/>
      <c r="J100" s="149"/>
      <c r="K100" s="149"/>
      <c r="L100" s="149"/>
      <c r="M100" s="149"/>
      <c r="N100" s="181"/>
      <c r="O100" s="145"/>
      <c r="P100" s="245"/>
      <c r="Q100" s="145"/>
      <c r="R100" s="149"/>
      <c r="S100" s="149"/>
      <c r="T100" s="150"/>
      <c r="U100" s="149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40"/>
      <c r="BB100" s="137"/>
      <c r="BC100" s="137"/>
      <c r="BD100" s="137"/>
      <c r="BE100" s="137"/>
      <c r="BF100" s="137"/>
      <c r="BG100" s="137"/>
      <c r="BH100" s="137"/>
    </row>
    <row r="101" spans="1:60" ht="12" customHeight="1" outlineLevel="1" x14ac:dyDescent="0.2">
      <c r="A101" s="138"/>
      <c r="B101" s="167"/>
      <c r="C101" s="230" t="s">
        <v>229</v>
      </c>
      <c r="D101" s="206"/>
      <c r="E101" s="257"/>
      <c r="F101" s="165"/>
      <c r="G101" s="175"/>
      <c r="H101" s="149"/>
      <c r="I101" s="149"/>
      <c r="J101" s="149"/>
      <c r="K101" s="149"/>
      <c r="L101" s="149"/>
      <c r="M101" s="149"/>
      <c r="N101" s="181"/>
      <c r="O101" s="145"/>
      <c r="P101" s="245"/>
      <c r="Q101" s="145"/>
      <c r="R101" s="149"/>
      <c r="S101" s="149"/>
      <c r="T101" s="150"/>
      <c r="U101" s="149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40"/>
      <c r="BB101" s="137"/>
      <c r="BC101" s="137"/>
      <c r="BD101" s="137"/>
      <c r="BE101" s="137"/>
      <c r="BF101" s="137"/>
      <c r="BG101" s="137"/>
      <c r="BH101" s="137"/>
    </row>
    <row r="102" spans="1:60" ht="12" customHeight="1" outlineLevel="1" x14ac:dyDescent="0.2">
      <c r="A102" s="138"/>
      <c r="B102" s="167"/>
      <c r="C102" s="230" t="s">
        <v>230</v>
      </c>
      <c r="D102" s="206"/>
      <c r="E102" s="257"/>
      <c r="F102" s="165"/>
      <c r="G102" s="175"/>
      <c r="H102" s="149"/>
      <c r="I102" s="149"/>
      <c r="J102" s="149"/>
      <c r="K102" s="149"/>
      <c r="L102" s="149"/>
      <c r="M102" s="149"/>
      <c r="N102" s="181"/>
      <c r="O102" s="145"/>
      <c r="P102" s="245"/>
      <c r="Q102" s="145"/>
      <c r="R102" s="149"/>
      <c r="S102" s="149"/>
      <c r="T102" s="150"/>
      <c r="U102" s="149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40"/>
      <c r="BB102" s="137"/>
      <c r="BC102" s="137"/>
      <c r="BD102" s="137"/>
      <c r="BE102" s="137"/>
      <c r="BF102" s="137"/>
      <c r="BG102" s="137"/>
      <c r="BH102" s="137"/>
    </row>
    <row r="103" spans="1:60" ht="12" customHeight="1" outlineLevel="1" x14ac:dyDescent="0.2">
      <c r="A103" s="166"/>
      <c r="B103" s="214"/>
      <c r="C103" s="227" t="s">
        <v>231</v>
      </c>
      <c r="D103" s="188"/>
      <c r="E103" s="171">
        <f>1.1+8.3</f>
        <v>9.4</v>
      </c>
      <c r="F103" s="193"/>
      <c r="G103" s="177"/>
      <c r="H103" s="154"/>
      <c r="I103" s="154"/>
      <c r="J103" s="154"/>
      <c r="K103" s="154"/>
      <c r="L103" s="154"/>
      <c r="M103" s="154"/>
      <c r="N103" s="219"/>
      <c r="O103" s="169"/>
      <c r="P103" s="220"/>
      <c r="Q103" s="169"/>
      <c r="R103" s="149"/>
      <c r="S103" s="149"/>
      <c r="T103" s="150"/>
      <c r="U103" s="149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40"/>
      <c r="BB103" s="137"/>
      <c r="BC103" s="137"/>
      <c r="BD103" s="137"/>
      <c r="BE103" s="137"/>
      <c r="BF103" s="137"/>
      <c r="BG103" s="137"/>
      <c r="BH103" s="137"/>
    </row>
    <row r="104" spans="1:60" ht="12" customHeight="1" outlineLevel="1" x14ac:dyDescent="0.2">
      <c r="A104" s="138">
        <v>25</v>
      </c>
      <c r="B104" s="167">
        <v>762332934</v>
      </c>
      <c r="C104" s="160" t="s">
        <v>232</v>
      </c>
      <c r="D104" s="142" t="s">
        <v>94</v>
      </c>
      <c r="E104" s="255">
        <f>E112</f>
        <v>17.3</v>
      </c>
      <c r="F104" s="148"/>
      <c r="G104" s="149">
        <f>ROUND(E104*F104,2)</f>
        <v>0</v>
      </c>
      <c r="H104" s="149"/>
      <c r="I104" s="149"/>
      <c r="J104" s="149"/>
      <c r="K104" s="149"/>
      <c r="L104" s="149"/>
      <c r="M104" s="149"/>
      <c r="N104" s="181">
        <v>1E-4</v>
      </c>
      <c r="O104" s="145">
        <f>ROUND(E104*N104,2)</f>
        <v>0</v>
      </c>
      <c r="P104" s="145">
        <v>0</v>
      </c>
      <c r="Q104" s="145">
        <f>ROUND(E104*P104,2)</f>
        <v>0</v>
      </c>
      <c r="R104" s="149"/>
      <c r="S104" s="149"/>
      <c r="T104" s="150"/>
      <c r="U104" s="149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40"/>
      <c r="BB104" s="137"/>
      <c r="BC104" s="137"/>
      <c r="BD104" s="137"/>
      <c r="BE104" s="137"/>
      <c r="BF104" s="137"/>
      <c r="BG104" s="137"/>
      <c r="BH104" s="137"/>
    </row>
    <row r="105" spans="1:60" ht="12" customHeight="1" outlineLevel="1" x14ac:dyDescent="0.2">
      <c r="A105" s="194"/>
      <c r="B105" s="167"/>
      <c r="C105" s="230" t="s">
        <v>138</v>
      </c>
      <c r="D105" s="195"/>
      <c r="E105" s="196"/>
      <c r="F105" s="165"/>
      <c r="G105" s="175"/>
      <c r="H105" s="148"/>
      <c r="I105" s="149"/>
      <c r="J105" s="148"/>
      <c r="K105" s="149"/>
      <c r="L105" s="149"/>
      <c r="M105" s="149"/>
      <c r="N105" s="150"/>
      <c r="O105" s="149"/>
      <c r="P105" s="175"/>
      <c r="Q105" s="149"/>
      <c r="R105" s="149"/>
      <c r="S105" s="149"/>
      <c r="T105" s="150"/>
      <c r="U105" s="149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40"/>
      <c r="BB105" s="137"/>
      <c r="BC105" s="137"/>
      <c r="BD105" s="137"/>
      <c r="BE105" s="137"/>
      <c r="BF105" s="137"/>
      <c r="BG105" s="137"/>
      <c r="BH105" s="137"/>
    </row>
    <row r="106" spans="1:60" ht="12" customHeight="1" outlineLevel="1" x14ac:dyDescent="0.2">
      <c r="A106" s="194"/>
      <c r="B106" s="167"/>
      <c r="C106" s="230" t="s">
        <v>233</v>
      </c>
      <c r="D106" s="195"/>
      <c r="E106" s="196"/>
      <c r="F106" s="165"/>
      <c r="G106" s="175"/>
      <c r="H106" s="148"/>
      <c r="I106" s="149"/>
      <c r="J106" s="148"/>
      <c r="K106" s="149"/>
      <c r="L106" s="149"/>
      <c r="M106" s="149"/>
      <c r="N106" s="150"/>
      <c r="O106" s="149"/>
      <c r="P106" s="175"/>
      <c r="Q106" s="149"/>
      <c r="R106" s="149"/>
      <c r="S106" s="149"/>
      <c r="T106" s="150"/>
      <c r="U106" s="149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40"/>
      <c r="BB106" s="137"/>
      <c r="BC106" s="137"/>
      <c r="BD106" s="137"/>
      <c r="BE106" s="137"/>
      <c r="BF106" s="137"/>
      <c r="BG106" s="137"/>
      <c r="BH106" s="137"/>
    </row>
    <row r="107" spans="1:60" ht="12" customHeight="1" outlineLevel="1" x14ac:dyDescent="0.2">
      <c r="A107" s="194"/>
      <c r="B107" s="167"/>
      <c r="C107" s="201">
        <v>8.3000000000000007</v>
      </c>
      <c r="D107" s="142"/>
      <c r="E107" s="146">
        <v>8.3000000000000007</v>
      </c>
      <c r="F107" s="165"/>
      <c r="G107" s="175"/>
      <c r="H107" s="148"/>
      <c r="I107" s="149"/>
      <c r="J107" s="148"/>
      <c r="K107" s="149"/>
      <c r="L107" s="149"/>
      <c r="M107" s="149"/>
      <c r="N107" s="150"/>
      <c r="O107" s="149"/>
      <c r="P107" s="175"/>
      <c r="Q107" s="149"/>
      <c r="R107" s="149"/>
      <c r="S107" s="149"/>
      <c r="T107" s="150"/>
      <c r="U107" s="149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7"/>
      <c r="AZ107" s="137"/>
      <c r="BA107" s="140"/>
      <c r="BB107" s="137"/>
      <c r="BC107" s="137"/>
      <c r="BD107" s="137"/>
      <c r="BE107" s="137"/>
      <c r="BF107" s="137"/>
      <c r="BG107" s="137"/>
      <c r="BH107" s="137"/>
    </row>
    <row r="108" spans="1:60" ht="12" customHeight="1" outlineLevel="1" x14ac:dyDescent="0.2">
      <c r="A108" s="194"/>
      <c r="B108" s="167"/>
      <c r="C108" s="230" t="s">
        <v>139</v>
      </c>
      <c r="D108" s="195"/>
      <c r="E108" s="196"/>
      <c r="F108" s="165"/>
      <c r="G108" s="175"/>
      <c r="H108" s="148"/>
      <c r="I108" s="149"/>
      <c r="J108" s="148"/>
      <c r="K108" s="149"/>
      <c r="L108" s="149"/>
      <c r="M108" s="149"/>
      <c r="N108" s="150"/>
      <c r="O108" s="149"/>
      <c r="P108" s="175"/>
      <c r="Q108" s="149"/>
      <c r="R108" s="149"/>
      <c r="S108" s="149"/>
      <c r="T108" s="150"/>
      <c r="U108" s="149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7"/>
      <c r="AZ108" s="137"/>
      <c r="BA108" s="140"/>
      <c r="BB108" s="137"/>
      <c r="BC108" s="137"/>
      <c r="BD108" s="137"/>
      <c r="BE108" s="137"/>
      <c r="BF108" s="137"/>
      <c r="BG108" s="137"/>
      <c r="BH108" s="137"/>
    </row>
    <row r="109" spans="1:60" ht="12" customHeight="1" outlineLevel="1" x14ac:dyDescent="0.2">
      <c r="A109" s="194"/>
      <c r="B109" s="167"/>
      <c r="C109" s="230" t="s">
        <v>234</v>
      </c>
      <c r="D109" s="195"/>
      <c r="E109" s="196"/>
      <c r="F109" s="165"/>
      <c r="G109" s="175"/>
      <c r="H109" s="148"/>
      <c r="I109" s="149"/>
      <c r="J109" s="148"/>
      <c r="K109" s="149"/>
      <c r="L109" s="149"/>
      <c r="M109" s="149"/>
      <c r="N109" s="150"/>
      <c r="O109" s="149"/>
      <c r="P109" s="175"/>
      <c r="Q109" s="149"/>
      <c r="R109" s="149"/>
      <c r="S109" s="149"/>
      <c r="T109" s="150"/>
      <c r="U109" s="149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7"/>
      <c r="AZ109" s="137"/>
      <c r="BA109" s="140"/>
      <c r="BB109" s="137"/>
      <c r="BC109" s="137"/>
      <c r="BD109" s="137"/>
      <c r="BE109" s="137"/>
      <c r="BF109" s="137"/>
      <c r="BG109" s="137"/>
      <c r="BH109" s="137"/>
    </row>
    <row r="110" spans="1:60" ht="12" customHeight="1" outlineLevel="1" x14ac:dyDescent="0.2">
      <c r="A110" s="194"/>
      <c r="B110" s="167"/>
      <c r="C110" s="230" t="s">
        <v>235</v>
      </c>
      <c r="D110" s="195"/>
      <c r="E110" s="196"/>
      <c r="F110" s="165"/>
      <c r="G110" s="175"/>
      <c r="H110" s="148"/>
      <c r="I110" s="149"/>
      <c r="J110" s="148"/>
      <c r="K110" s="149"/>
      <c r="L110" s="149"/>
      <c r="M110" s="149"/>
      <c r="N110" s="150"/>
      <c r="O110" s="149"/>
      <c r="P110" s="175"/>
      <c r="Q110" s="149"/>
      <c r="R110" s="149"/>
      <c r="S110" s="149"/>
      <c r="T110" s="150"/>
      <c r="U110" s="149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7"/>
      <c r="AZ110" s="137"/>
      <c r="BA110" s="140"/>
      <c r="BB110" s="137"/>
      <c r="BC110" s="137"/>
      <c r="BD110" s="137"/>
      <c r="BE110" s="137"/>
      <c r="BF110" s="137"/>
      <c r="BG110" s="137"/>
      <c r="BH110" s="137"/>
    </row>
    <row r="111" spans="1:60" outlineLevel="1" x14ac:dyDescent="0.2">
      <c r="A111" s="194"/>
      <c r="B111" s="167"/>
      <c r="C111" s="202" t="s">
        <v>236</v>
      </c>
      <c r="D111" s="142"/>
      <c r="E111" s="171">
        <f>3+(3*2)</f>
        <v>9</v>
      </c>
      <c r="F111" s="165"/>
      <c r="G111" s="175"/>
      <c r="H111" s="148"/>
      <c r="I111" s="149"/>
      <c r="J111" s="148"/>
      <c r="K111" s="149"/>
      <c r="L111" s="149"/>
      <c r="M111" s="149"/>
      <c r="N111" s="150"/>
      <c r="O111" s="149"/>
      <c r="P111" s="175"/>
      <c r="Q111" s="149"/>
      <c r="R111" s="149"/>
      <c r="S111" s="149"/>
      <c r="T111" s="150"/>
      <c r="U111" s="149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7"/>
      <c r="AZ111" s="137"/>
      <c r="BA111" s="140"/>
      <c r="BB111" s="137"/>
      <c r="BC111" s="137"/>
      <c r="BD111" s="137"/>
      <c r="BE111" s="137"/>
      <c r="BF111" s="137"/>
      <c r="BG111" s="137"/>
      <c r="BH111" s="137"/>
    </row>
    <row r="112" spans="1:60" outlineLevel="1" x14ac:dyDescent="0.2">
      <c r="A112" s="166"/>
      <c r="B112" s="172"/>
      <c r="C112" s="170"/>
      <c r="D112" s="168"/>
      <c r="E112" s="197">
        <f>SUM(E105:E111)</f>
        <v>17.3</v>
      </c>
      <c r="F112" s="154"/>
      <c r="G112" s="205"/>
      <c r="H112" s="154"/>
      <c r="I112" s="154"/>
      <c r="J112" s="154"/>
      <c r="K112" s="154"/>
      <c r="L112" s="154"/>
      <c r="M112" s="154"/>
      <c r="N112" s="176"/>
      <c r="O112" s="174"/>
      <c r="P112" s="177"/>
      <c r="Q112" s="154"/>
      <c r="R112" s="149"/>
      <c r="S112" s="149"/>
      <c r="T112" s="150"/>
      <c r="U112" s="149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7"/>
      <c r="AZ112" s="137"/>
      <c r="BA112" s="140"/>
      <c r="BB112" s="137"/>
      <c r="BC112" s="137"/>
      <c r="BD112" s="137"/>
      <c r="BE112" s="137"/>
      <c r="BF112" s="137"/>
      <c r="BG112" s="137"/>
      <c r="BH112" s="137"/>
    </row>
    <row r="113" spans="1:60" ht="33.75" outlineLevel="1" x14ac:dyDescent="0.2">
      <c r="A113" s="138">
        <v>26</v>
      </c>
      <c r="B113" s="138" t="s">
        <v>91</v>
      </c>
      <c r="C113" s="183" t="s">
        <v>237</v>
      </c>
      <c r="D113" s="212" t="s">
        <v>98</v>
      </c>
      <c r="E113" s="190">
        <f>E116</f>
        <v>0.29779200000000006</v>
      </c>
      <c r="F113" s="148"/>
      <c r="G113" s="149">
        <f>ROUND(E113*F113,2)</f>
        <v>0</v>
      </c>
      <c r="H113" s="149"/>
      <c r="I113" s="149"/>
      <c r="J113" s="149"/>
      <c r="K113" s="149"/>
      <c r="L113" s="149"/>
      <c r="M113" s="149"/>
      <c r="N113" s="145">
        <v>0.85</v>
      </c>
      <c r="O113" s="145">
        <f>ROUND(E113*N113,2)</f>
        <v>0.25</v>
      </c>
      <c r="P113" s="145">
        <v>0</v>
      </c>
      <c r="Q113" s="145">
        <f>ROUND(E113*P113,2)</f>
        <v>0</v>
      </c>
      <c r="R113" s="149"/>
      <c r="S113" s="149"/>
      <c r="T113" s="150"/>
      <c r="U113" s="149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7"/>
      <c r="AZ113" s="137"/>
      <c r="BA113" s="140"/>
      <c r="BB113" s="137"/>
      <c r="BC113" s="137"/>
      <c r="BD113" s="137"/>
      <c r="BE113" s="137"/>
      <c r="BF113" s="137"/>
      <c r="BG113" s="137"/>
      <c r="BH113" s="137"/>
    </row>
    <row r="114" spans="1:60" ht="22.5" outlineLevel="1" x14ac:dyDescent="0.2">
      <c r="A114" s="138"/>
      <c r="B114" s="138"/>
      <c r="C114" s="231" t="s">
        <v>238</v>
      </c>
      <c r="D114" s="173"/>
      <c r="E114" s="190"/>
      <c r="F114" s="165"/>
      <c r="G114" s="175"/>
      <c r="H114" s="149"/>
      <c r="I114" s="149"/>
      <c r="J114" s="149"/>
      <c r="K114" s="149"/>
      <c r="L114" s="149"/>
      <c r="M114" s="149"/>
      <c r="N114" s="145"/>
      <c r="O114" s="145"/>
      <c r="P114" s="145"/>
      <c r="Q114" s="145"/>
      <c r="R114" s="149"/>
      <c r="S114" s="149"/>
      <c r="T114" s="150"/>
      <c r="U114" s="149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7"/>
      <c r="AZ114" s="137"/>
      <c r="BA114" s="140"/>
      <c r="BB114" s="137"/>
      <c r="BC114" s="137"/>
      <c r="BD114" s="137"/>
      <c r="BE114" s="137"/>
      <c r="BF114" s="137"/>
      <c r="BG114" s="137"/>
      <c r="BH114" s="137"/>
    </row>
    <row r="115" spans="1:60" ht="23.25" customHeight="1" outlineLevel="1" x14ac:dyDescent="0.2">
      <c r="A115" s="138"/>
      <c r="B115" s="138"/>
      <c r="C115" s="231" t="s">
        <v>239</v>
      </c>
      <c r="D115" s="173"/>
      <c r="E115" s="190"/>
      <c r="F115" s="165"/>
      <c r="G115" s="175"/>
      <c r="H115" s="149"/>
      <c r="I115" s="149"/>
      <c r="J115" s="149"/>
      <c r="K115" s="149"/>
      <c r="L115" s="149"/>
      <c r="M115" s="149"/>
      <c r="N115" s="145"/>
      <c r="O115" s="145"/>
      <c r="P115" s="145"/>
      <c r="Q115" s="145"/>
      <c r="R115" s="149"/>
      <c r="S115" s="149"/>
      <c r="T115" s="150"/>
      <c r="U115" s="149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7"/>
      <c r="AZ115" s="137"/>
      <c r="BA115" s="140"/>
      <c r="BB115" s="137"/>
      <c r="BC115" s="137"/>
      <c r="BD115" s="137"/>
      <c r="BE115" s="137"/>
      <c r="BF115" s="137"/>
      <c r="BG115" s="137"/>
      <c r="BH115" s="137"/>
    </row>
    <row r="116" spans="1:60" outlineLevel="1" x14ac:dyDescent="0.2">
      <c r="A116" s="166"/>
      <c r="B116" s="166"/>
      <c r="C116" s="227" t="s">
        <v>240</v>
      </c>
      <c r="D116" s="168"/>
      <c r="E116" s="171">
        <f>(0.18*0.16)*(1.1+8.3)*1.1</f>
        <v>0.29779200000000006</v>
      </c>
      <c r="F116" s="193"/>
      <c r="G116" s="177"/>
      <c r="H116" s="154"/>
      <c r="I116" s="154"/>
      <c r="J116" s="154"/>
      <c r="K116" s="154"/>
      <c r="L116" s="154"/>
      <c r="M116" s="154"/>
      <c r="N116" s="169"/>
      <c r="O116" s="169"/>
      <c r="P116" s="169"/>
      <c r="Q116" s="169"/>
      <c r="R116" s="149"/>
      <c r="S116" s="149"/>
      <c r="T116" s="150"/>
      <c r="U116" s="149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37"/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37"/>
      <c r="AZ116" s="137"/>
      <c r="BA116" s="140"/>
      <c r="BB116" s="137"/>
      <c r="BC116" s="137"/>
      <c r="BD116" s="137"/>
      <c r="BE116" s="137"/>
      <c r="BF116" s="137"/>
      <c r="BG116" s="137"/>
      <c r="BH116" s="137"/>
    </row>
    <row r="117" spans="1:60" ht="33.75" customHeight="1" outlineLevel="1" x14ac:dyDescent="0.2">
      <c r="A117" s="138">
        <v>27</v>
      </c>
      <c r="B117" s="138" t="s">
        <v>91</v>
      </c>
      <c r="C117" s="183" t="s">
        <v>144</v>
      </c>
      <c r="D117" s="212" t="s">
        <v>98</v>
      </c>
      <c r="E117" s="190">
        <f>E119</f>
        <v>0.35698300000000005</v>
      </c>
      <c r="F117" s="148"/>
      <c r="G117" s="149">
        <f>ROUND(E117*F117,2)</f>
        <v>0</v>
      </c>
      <c r="H117" s="149"/>
      <c r="I117" s="149"/>
      <c r="J117" s="149"/>
      <c r="K117" s="149"/>
      <c r="L117" s="149"/>
      <c r="M117" s="149"/>
      <c r="N117" s="145">
        <v>0.85</v>
      </c>
      <c r="O117" s="145">
        <f>ROUND(E117*N117,2)</f>
        <v>0.3</v>
      </c>
      <c r="P117" s="145">
        <v>0</v>
      </c>
      <c r="Q117" s="145">
        <f>ROUND(E117*P117,2)</f>
        <v>0</v>
      </c>
      <c r="R117" s="149"/>
      <c r="S117" s="149"/>
      <c r="T117" s="150"/>
      <c r="U117" s="149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40"/>
      <c r="BB117" s="137"/>
      <c r="BC117" s="137"/>
      <c r="BD117" s="137"/>
      <c r="BE117" s="137"/>
      <c r="BF117" s="137"/>
      <c r="BG117" s="137"/>
      <c r="BH117" s="137"/>
    </row>
    <row r="118" spans="1:60" ht="12.75" customHeight="1" outlineLevel="1" x14ac:dyDescent="0.2">
      <c r="A118" s="138"/>
      <c r="B118" s="138"/>
      <c r="C118" s="231" t="s">
        <v>241</v>
      </c>
      <c r="D118" s="173"/>
      <c r="E118" s="211"/>
      <c r="F118" s="165"/>
      <c r="G118" s="175"/>
      <c r="H118" s="149"/>
      <c r="I118" s="149"/>
      <c r="J118" s="149"/>
      <c r="K118" s="149"/>
      <c r="L118" s="149"/>
      <c r="M118" s="149"/>
      <c r="N118" s="145"/>
      <c r="O118" s="145"/>
      <c r="P118" s="145"/>
      <c r="Q118" s="145"/>
      <c r="R118" s="149"/>
      <c r="S118" s="149"/>
      <c r="T118" s="150"/>
      <c r="U118" s="149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40"/>
      <c r="BB118" s="137"/>
      <c r="BC118" s="137"/>
      <c r="BD118" s="137"/>
      <c r="BE118" s="137"/>
      <c r="BF118" s="137"/>
      <c r="BG118" s="137"/>
      <c r="BH118" s="137"/>
    </row>
    <row r="119" spans="1:60" outlineLevel="1" x14ac:dyDescent="0.2">
      <c r="A119" s="166"/>
      <c r="B119" s="172"/>
      <c r="C119" s="227" t="s">
        <v>242</v>
      </c>
      <c r="D119" s="168"/>
      <c r="E119" s="171">
        <f>(0.23*0.17)*8.3*1.1</f>
        <v>0.35698300000000005</v>
      </c>
      <c r="F119" s="193"/>
      <c r="G119" s="177"/>
      <c r="H119" s="154"/>
      <c r="I119" s="154"/>
      <c r="J119" s="154"/>
      <c r="K119" s="154"/>
      <c r="L119" s="154"/>
      <c r="M119" s="154"/>
      <c r="N119" s="169"/>
      <c r="O119" s="169"/>
      <c r="P119" s="169"/>
      <c r="Q119" s="169"/>
      <c r="R119" s="149"/>
      <c r="S119" s="149"/>
      <c r="T119" s="150"/>
      <c r="U119" s="149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  <c r="AY119" s="137"/>
      <c r="AZ119" s="137"/>
      <c r="BA119" s="140"/>
      <c r="BB119" s="137"/>
      <c r="BC119" s="137"/>
      <c r="BD119" s="137"/>
      <c r="BE119" s="137"/>
      <c r="BF119" s="137"/>
      <c r="BG119" s="137"/>
      <c r="BH119" s="137"/>
    </row>
    <row r="120" spans="1:60" ht="33.75" outlineLevel="1" x14ac:dyDescent="0.2">
      <c r="A120" s="138">
        <v>28</v>
      </c>
      <c r="B120" s="138" t="s">
        <v>91</v>
      </c>
      <c r="C120" s="183" t="s">
        <v>145</v>
      </c>
      <c r="D120" s="212" t="s">
        <v>98</v>
      </c>
      <c r="E120" s="190">
        <f>E123</f>
        <v>0.57408000000000015</v>
      </c>
      <c r="F120" s="148"/>
      <c r="G120" s="149">
        <f>ROUND(E120*F120,2)</f>
        <v>0</v>
      </c>
      <c r="H120" s="149"/>
      <c r="I120" s="149"/>
      <c r="J120" s="149"/>
      <c r="K120" s="149"/>
      <c r="L120" s="149"/>
      <c r="M120" s="149"/>
      <c r="N120" s="145">
        <v>0.85</v>
      </c>
      <c r="O120" s="145">
        <f>ROUND(E120*N120,2)</f>
        <v>0.49</v>
      </c>
      <c r="P120" s="145">
        <v>0</v>
      </c>
      <c r="Q120" s="145">
        <f>ROUND(E120*P120,2)</f>
        <v>0</v>
      </c>
      <c r="R120" s="149"/>
      <c r="S120" s="149"/>
      <c r="T120" s="150"/>
      <c r="U120" s="149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37"/>
      <c r="AI120" s="137"/>
      <c r="AJ120" s="137"/>
      <c r="AK120" s="137"/>
      <c r="AL120" s="137"/>
      <c r="AM120" s="137"/>
      <c r="AN120" s="137"/>
      <c r="AO120" s="137"/>
      <c r="AP120" s="137"/>
      <c r="AQ120" s="137"/>
      <c r="AR120" s="137"/>
      <c r="AS120" s="137"/>
      <c r="AT120" s="137"/>
      <c r="AU120" s="137"/>
      <c r="AV120" s="137"/>
      <c r="AW120" s="137"/>
      <c r="AX120" s="137"/>
      <c r="AY120" s="137"/>
      <c r="AZ120" s="137"/>
      <c r="BA120" s="140"/>
      <c r="BB120" s="137"/>
      <c r="BC120" s="137"/>
      <c r="BD120" s="137"/>
      <c r="BE120" s="137"/>
      <c r="BF120" s="137"/>
      <c r="BG120" s="137"/>
      <c r="BH120" s="137"/>
    </row>
    <row r="121" spans="1:60" ht="22.5" outlineLevel="1" x14ac:dyDescent="0.2">
      <c r="A121" s="138"/>
      <c r="B121" s="138"/>
      <c r="C121" s="231" t="s">
        <v>243</v>
      </c>
      <c r="D121" s="173"/>
      <c r="E121" s="190"/>
      <c r="F121" s="165"/>
      <c r="G121" s="175"/>
      <c r="H121" s="149"/>
      <c r="I121" s="149"/>
      <c r="J121" s="149"/>
      <c r="K121" s="149"/>
      <c r="L121" s="149"/>
      <c r="M121" s="149"/>
      <c r="N121" s="145"/>
      <c r="O121" s="145"/>
      <c r="P121" s="145"/>
      <c r="Q121" s="145"/>
      <c r="R121" s="149"/>
      <c r="S121" s="149"/>
      <c r="T121" s="150"/>
      <c r="U121" s="149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  <c r="AH121" s="137"/>
      <c r="AI121" s="137"/>
      <c r="AJ121" s="137"/>
      <c r="AK121" s="137"/>
      <c r="AL121" s="137"/>
      <c r="AM121" s="137"/>
      <c r="AN121" s="137"/>
      <c r="AO121" s="137"/>
      <c r="AP121" s="137"/>
      <c r="AQ121" s="137"/>
      <c r="AR121" s="137"/>
      <c r="AS121" s="137"/>
      <c r="AT121" s="137"/>
      <c r="AU121" s="137"/>
      <c r="AV121" s="137"/>
      <c r="AW121" s="137"/>
      <c r="AX121" s="137"/>
      <c r="AY121" s="137"/>
      <c r="AZ121" s="137"/>
      <c r="BA121" s="140"/>
      <c r="BB121" s="137"/>
      <c r="BC121" s="137"/>
      <c r="BD121" s="137"/>
      <c r="BE121" s="137"/>
      <c r="BF121" s="137"/>
      <c r="BG121" s="137"/>
      <c r="BH121" s="137"/>
    </row>
    <row r="122" spans="1:60" ht="22.5" outlineLevel="1" x14ac:dyDescent="0.2">
      <c r="A122" s="138"/>
      <c r="B122" s="138"/>
      <c r="C122" s="231" t="s">
        <v>244</v>
      </c>
      <c r="D122" s="173"/>
      <c r="E122" s="211"/>
      <c r="F122" s="165"/>
      <c r="G122" s="175"/>
      <c r="H122" s="149"/>
      <c r="I122" s="149"/>
      <c r="J122" s="149"/>
      <c r="K122" s="149"/>
      <c r="L122" s="149"/>
      <c r="M122" s="149"/>
      <c r="N122" s="145"/>
      <c r="O122" s="145"/>
      <c r="P122" s="145"/>
      <c r="Q122" s="145"/>
      <c r="R122" s="149"/>
      <c r="S122" s="149"/>
      <c r="T122" s="150"/>
      <c r="U122" s="149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  <c r="AH122" s="137"/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37"/>
      <c r="AZ122" s="137"/>
      <c r="BA122" s="140"/>
      <c r="BB122" s="137"/>
      <c r="BC122" s="137"/>
      <c r="BD122" s="137"/>
      <c r="BE122" s="137"/>
      <c r="BF122" s="137"/>
      <c r="BG122" s="137"/>
      <c r="BH122" s="137"/>
    </row>
    <row r="123" spans="1:60" outlineLevel="1" x14ac:dyDescent="0.2">
      <c r="A123" s="166"/>
      <c r="B123" s="172"/>
      <c r="C123" s="227" t="s">
        <v>245</v>
      </c>
      <c r="D123" s="168"/>
      <c r="E123" s="171">
        <f>(0.23*0.26)*((3+(3*2)*1.1))</f>
        <v>0.57408000000000015</v>
      </c>
      <c r="F123" s="193"/>
      <c r="G123" s="177"/>
      <c r="H123" s="154"/>
      <c r="I123" s="154"/>
      <c r="J123" s="154"/>
      <c r="K123" s="154"/>
      <c r="L123" s="154"/>
      <c r="M123" s="154"/>
      <c r="N123" s="169"/>
      <c r="O123" s="169"/>
      <c r="P123" s="169"/>
      <c r="Q123" s="169"/>
      <c r="R123" s="149"/>
      <c r="S123" s="149"/>
      <c r="T123" s="150"/>
      <c r="U123" s="149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  <c r="AH123" s="137"/>
      <c r="AI123" s="137"/>
      <c r="AJ123" s="137"/>
      <c r="AK123" s="137"/>
      <c r="AL123" s="137"/>
      <c r="AM123" s="137"/>
      <c r="AN123" s="137"/>
      <c r="AO123" s="137"/>
      <c r="AP123" s="137"/>
      <c r="AQ123" s="137"/>
      <c r="AR123" s="137"/>
      <c r="AS123" s="137"/>
      <c r="AT123" s="137"/>
      <c r="AU123" s="137"/>
      <c r="AV123" s="137"/>
      <c r="AW123" s="137"/>
      <c r="AX123" s="137"/>
      <c r="AY123" s="137"/>
      <c r="AZ123" s="137"/>
      <c r="BA123" s="140"/>
      <c r="BB123" s="137"/>
      <c r="BC123" s="137"/>
      <c r="BD123" s="137"/>
      <c r="BE123" s="137"/>
      <c r="BF123" s="137"/>
      <c r="BG123" s="137"/>
      <c r="BH123" s="137"/>
    </row>
    <row r="124" spans="1:60" ht="33.75" outlineLevel="1" x14ac:dyDescent="0.2">
      <c r="A124" s="138">
        <v>29</v>
      </c>
      <c r="B124" s="138" t="s">
        <v>91</v>
      </c>
      <c r="C124" s="183" t="s">
        <v>146</v>
      </c>
      <c r="D124" s="212" t="s">
        <v>98</v>
      </c>
      <c r="E124" s="190">
        <f>E129</f>
        <v>2.6243999999999996</v>
      </c>
      <c r="F124" s="148"/>
      <c r="G124" s="149">
        <f>ROUND(E124*F124,2)</f>
        <v>0</v>
      </c>
      <c r="H124" s="149"/>
      <c r="I124" s="149"/>
      <c r="J124" s="149"/>
      <c r="K124" s="149"/>
      <c r="L124" s="149"/>
      <c r="M124" s="149"/>
      <c r="N124" s="145">
        <v>0.85</v>
      </c>
      <c r="O124" s="145">
        <f>ROUND(E124*N124,2)</f>
        <v>2.23</v>
      </c>
      <c r="P124" s="145">
        <v>0</v>
      </c>
      <c r="Q124" s="145">
        <f>ROUND(E124*P124,2)</f>
        <v>0</v>
      </c>
      <c r="R124" s="149"/>
      <c r="S124" s="149"/>
      <c r="T124" s="150"/>
      <c r="U124" s="149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37"/>
      <c r="AZ124" s="137"/>
      <c r="BA124" s="140"/>
      <c r="BB124" s="137"/>
      <c r="BC124" s="137"/>
      <c r="BD124" s="137"/>
      <c r="BE124" s="137"/>
      <c r="BF124" s="137"/>
      <c r="BG124" s="137"/>
      <c r="BH124" s="137"/>
    </row>
    <row r="125" spans="1:60" ht="22.5" outlineLevel="1" x14ac:dyDescent="0.2">
      <c r="A125" s="138"/>
      <c r="B125" s="138"/>
      <c r="C125" s="231" t="s">
        <v>147</v>
      </c>
      <c r="D125" s="173"/>
      <c r="E125" s="190"/>
      <c r="F125" s="165"/>
      <c r="G125" s="175"/>
      <c r="H125" s="149"/>
      <c r="I125" s="149"/>
      <c r="J125" s="149"/>
      <c r="K125" s="149"/>
      <c r="L125" s="149"/>
      <c r="M125" s="149"/>
      <c r="N125" s="145"/>
      <c r="O125" s="145"/>
      <c r="P125" s="145"/>
      <c r="Q125" s="145"/>
      <c r="R125" s="149"/>
      <c r="S125" s="149"/>
      <c r="T125" s="150"/>
      <c r="U125" s="149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  <c r="AF125" s="137"/>
      <c r="AG125" s="137"/>
      <c r="AH125" s="137"/>
      <c r="AI125" s="137"/>
      <c r="AJ125" s="137"/>
      <c r="AK125" s="137"/>
      <c r="AL125" s="137"/>
      <c r="AM125" s="137"/>
      <c r="AN125" s="137"/>
      <c r="AO125" s="137"/>
      <c r="AP125" s="137"/>
      <c r="AQ125" s="137"/>
      <c r="AR125" s="137"/>
      <c r="AS125" s="137"/>
      <c r="AT125" s="137"/>
      <c r="AU125" s="137"/>
      <c r="AV125" s="137"/>
      <c r="AW125" s="137"/>
      <c r="AX125" s="137"/>
      <c r="AY125" s="137"/>
      <c r="AZ125" s="137"/>
      <c r="BA125" s="140"/>
      <c r="BB125" s="137"/>
      <c r="BC125" s="137"/>
      <c r="BD125" s="137"/>
      <c r="BE125" s="137"/>
      <c r="BF125" s="137"/>
      <c r="BG125" s="137"/>
      <c r="BH125" s="137"/>
    </row>
    <row r="126" spans="1:60" ht="22.5" outlineLevel="1" x14ac:dyDescent="0.2">
      <c r="A126" s="138"/>
      <c r="B126" s="138"/>
      <c r="C126" s="231" t="s">
        <v>148</v>
      </c>
      <c r="D126" s="173"/>
      <c r="E126" s="190"/>
      <c r="F126" s="165"/>
      <c r="G126" s="175"/>
      <c r="H126" s="149"/>
      <c r="I126" s="149"/>
      <c r="J126" s="149"/>
      <c r="K126" s="149"/>
      <c r="L126" s="149"/>
      <c r="M126" s="149"/>
      <c r="N126" s="145"/>
      <c r="O126" s="145"/>
      <c r="P126" s="145"/>
      <c r="Q126" s="145"/>
      <c r="R126" s="149"/>
      <c r="S126" s="149"/>
      <c r="T126" s="150"/>
      <c r="U126" s="149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  <c r="AH126" s="137"/>
      <c r="AI126" s="137"/>
      <c r="AJ126" s="137"/>
      <c r="AK126" s="137"/>
      <c r="AL126" s="137"/>
      <c r="AM126" s="137"/>
      <c r="AN126" s="137"/>
      <c r="AO126" s="137"/>
      <c r="AP126" s="137"/>
      <c r="AQ126" s="137"/>
      <c r="AR126" s="137"/>
      <c r="AS126" s="137"/>
      <c r="AT126" s="137"/>
      <c r="AU126" s="137"/>
      <c r="AV126" s="137"/>
      <c r="AW126" s="137"/>
      <c r="AX126" s="137"/>
      <c r="AY126" s="137"/>
      <c r="AZ126" s="137"/>
      <c r="BA126" s="140"/>
      <c r="BB126" s="137"/>
      <c r="BC126" s="137"/>
      <c r="BD126" s="137"/>
      <c r="BE126" s="137"/>
      <c r="BF126" s="137"/>
      <c r="BG126" s="137"/>
      <c r="BH126" s="137"/>
    </row>
    <row r="127" spans="1:60" ht="22.5" outlineLevel="1" x14ac:dyDescent="0.2">
      <c r="A127" s="138"/>
      <c r="B127" s="138"/>
      <c r="C127" s="231" t="s">
        <v>149</v>
      </c>
      <c r="D127" s="173"/>
      <c r="E127" s="190"/>
      <c r="F127" s="165"/>
      <c r="G127" s="175"/>
      <c r="H127" s="149"/>
      <c r="I127" s="149"/>
      <c r="J127" s="149"/>
      <c r="K127" s="149"/>
      <c r="L127" s="149"/>
      <c r="M127" s="149"/>
      <c r="N127" s="145"/>
      <c r="O127" s="145"/>
      <c r="P127" s="145"/>
      <c r="Q127" s="145"/>
      <c r="R127" s="149"/>
      <c r="S127" s="149"/>
      <c r="T127" s="150"/>
      <c r="U127" s="149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  <c r="AH127" s="137"/>
      <c r="AI127" s="137"/>
      <c r="AJ127" s="137"/>
      <c r="AK127" s="137"/>
      <c r="AL127" s="137"/>
      <c r="AM127" s="137"/>
      <c r="AN127" s="137"/>
      <c r="AO127" s="137"/>
      <c r="AP127" s="137"/>
      <c r="AQ127" s="137"/>
      <c r="AR127" s="137"/>
      <c r="AS127" s="137"/>
      <c r="AT127" s="137"/>
      <c r="AU127" s="137"/>
      <c r="AV127" s="137"/>
      <c r="AW127" s="137"/>
      <c r="AX127" s="137"/>
      <c r="AY127" s="137"/>
      <c r="AZ127" s="137"/>
      <c r="BA127" s="140"/>
      <c r="BB127" s="137"/>
      <c r="BC127" s="137"/>
      <c r="BD127" s="137"/>
      <c r="BE127" s="137"/>
      <c r="BF127" s="137"/>
      <c r="BG127" s="137"/>
      <c r="BH127" s="137"/>
    </row>
    <row r="128" spans="1:60" ht="22.5" outlineLevel="1" x14ac:dyDescent="0.2">
      <c r="A128" s="138"/>
      <c r="B128" s="138"/>
      <c r="C128" s="231" t="s">
        <v>150</v>
      </c>
      <c r="D128" s="173"/>
      <c r="E128" s="190"/>
      <c r="F128" s="165"/>
      <c r="G128" s="175"/>
      <c r="H128" s="149"/>
      <c r="I128" s="149"/>
      <c r="J128" s="149"/>
      <c r="K128" s="149"/>
      <c r="L128" s="149"/>
      <c r="M128" s="149"/>
      <c r="N128" s="145"/>
      <c r="O128" s="145"/>
      <c r="P128" s="145"/>
      <c r="Q128" s="145"/>
      <c r="R128" s="149"/>
      <c r="S128" s="149"/>
      <c r="T128" s="150"/>
      <c r="U128" s="149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7"/>
      <c r="AR128" s="137"/>
      <c r="AS128" s="137"/>
      <c r="AT128" s="137"/>
      <c r="AU128" s="137"/>
      <c r="AV128" s="137"/>
      <c r="AW128" s="137"/>
      <c r="AX128" s="137"/>
      <c r="AY128" s="137"/>
      <c r="AZ128" s="137"/>
      <c r="BA128" s="140"/>
      <c r="BB128" s="137"/>
      <c r="BC128" s="137"/>
      <c r="BD128" s="137"/>
      <c r="BE128" s="137"/>
      <c r="BF128" s="137"/>
      <c r="BG128" s="137"/>
      <c r="BH128" s="137"/>
    </row>
    <row r="129" spans="1:60" ht="22.5" outlineLevel="1" x14ac:dyDescent="0.2">
      <c r="A129" s="166"/>
      <c r="B129" s="166"/>
      <c r="C129" s="227" t="s">
        <v>186</v>
      </c>
      <c r="D129" s="168"/>
      <c r="E129" s="171">
        <f>(0.12*0.18)*((4*12.5)+(4*10.8)+(5*2.8)+(5*2.6)*1.1)</f>
        <v>2.6243999999999996</v>
      </c>
      <c r="F129" s="193"/>
      <c r="G129" s="177"/>
      <c r="H129" s="154"/>
      <c r="I129" s="154"/>
      <c r="J129" s="154"/>
      <c r="K129" s="154"/>
      <c r="L129" s="154"/>
      <c r="M129" s="154"/>
      <c r="N129" s="169"/>
      <c r="O129" s="169"/>
      <c r="P129" s="169"/>
      <c r="Q129" s="169"/>
      <c r="R129" s="149"/>
      <c r="S129" s="149"/>
      <c r="T129" s="150"/>
      <c r="U129" s="149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  <c r="AF129" s="137"/>
      <c r="AG129" s="137"/>
      <c r="AH129" s="137"/>
      <c r="AI129" s="137"/>
      <c r="AJ129" s="137"/>
      <c r="AK129" s="137"/>
      <c r="AL129" s="137"/>
      <c r="AM129" s="137"/>
      <c r="AN129" s="137"/>
      <c r="AO129" s="137"/>
      <c r="AP129" s="137"/>
      <c r="AQ129" s="137"/>
      <c r="AR129" s="137"/>
      <c r="AS129" s="137"/>
      <c r="AT129" s="137"/>
      <c r="AU129" s="137"/>
      <c r="AV129" s="137"/>
      <c r="AW129" s="137"/>
      <c r="AX129" s="137"/>
      <c r="AY129" s="137"/>
      <c r="AZ129" s="137"/>
      <c r="BA129" s="140"/>
      <c r="BB129" s="137"/>
      <c r="BC129" s="137"/>
      <c r="BD129" s="137"/>
      <c r="BE129" s="137"/>
      <c r="BF129" s="137"/>
      <c r="BG129" s="137"/>
      <c r="BH129" s="137"/>
    </row>
    <row r="130" spans="1:60" ht="34.5" customHeight="1" outlineLevel="1" x14ac:dyDescent="0.2">
      <c r="A130" s="138">
        <v>30</v>
      </c>
      <c r="B130" s="138" t="s">
        <v>91</v>
      </c>
      <c r="C130" s="183" t="s">
        <v>202</v>
      </c>
      <c r="D130" s="212" t="s">
        <v>98</v>
      </c>
      <c r="E130" s="190">
        <f>E132</f>
        <v>1.2320000000000002</v>
      </c>
      <c r="F130" s="148"/>
      <c r="G130" s="149">
        <f>ROUND(E130*F130,2)</f>
        <v>0</v>
      </c>
      <c r="H130" s="149"/>
      <c r="I130" s="149"/>
      <c r="J130" s="149"/>
      <c r="K130" s="149"/>
      <c r="L130" s="149"/>
      <c r="M130" s="149"/>
      <c r="N130" s="145">
        <v>0.85</v>
      </c>
      <c r="O130" s="145">
        <f>ROUND(E130*N130,2)</f>
        <v>1.05</v>
      </c>
      <c r="P130" s="145">
        <v>0</v>
      </c>
      <c r="Q130" s="145">
        <f>ROUND(E130*P130,2)</f>
        <v>0</v>
      </c>
      <c r="R130" s="149"/>
      <c r="S130" s="149"/>
      <c r="T130" s="150"/>
      <c r="U130" s="149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  <c r="AH130" s="137"/>
      <c r="AI130" s="137"/>
      <c r="AJ130" s="137"/>
      <c r="AK130" s="137"/>
      <c r="AL130" s="137"/>
      <c r="AM130" s="137"/>
      <c r="AN130" s="137"/>
      <c r="AO130" s="137"/>
      <c r="AP130" s="137"/>
      <c r="AQ130" s="137"/>
      <c r="AR130" s="137"/>
      <c r="AS130" s="137"/>
      <c r="AT130" s="137"/>
      <c r="AU130" s="137"/>
      <c r="AV130" s="137"/>
      <c r="AW130" s="137"/>
      <c r="AX130" s="137"/>
      <c r="AY130" s="137"/>
      <c r="AZ130" s="137"/>
      <c r="BA130" s="140"/>
      <c r="BB130" s="137"/>
      <c r="BC130" s="137"/>
      <c r="BD130" s="137"/>
      <c r="BE130" s="137"/>
      <c r="BF130" s="137"/>
      <c r="BG130" s="137"/>
      <c r="BH130" s="137"/>
    </row>
    <row r="131" spans="1:60" ht="22.5" customHeight="1" outlineLevel="1" x14ac:dyDescent="0.2">
      <c r="A131" s="138"/>
      <c r="B131" s="138"/>
      <c r="C131" s="231" t="s">
        <v>151</v>
      </c>
      <c r="D131" s="173"/>
      <c r="E131" s="190"/>
      <c r="F131" s="165"/>
      <c r="G131" s="175"/>
      <c r="H131" s="149"/>
      <c r="I131" s="149"/>
      <c r="J131" s="149"/>
      <c r="K131" s="149"/>
      <c r="L131" s="149"/>
      <c r="M131" s="149"/>
      <c r="N131" s="145"/>
      <c r="O131" s="145"/>
      <c r="P131" s="145"/>
      <c r="Q131" s="145"/>
      <c r="R131" s="149"/>
      <c r="S131" s="149"/>
      <c r="T131" s="150"/>
      <c r="U131" s="149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  <c r="AH131" s="137"/>
      <c r="AI131" s="137"/>
      <c r="AJ131" s="137"/>
      <c r="AK131" s="137"/>
      <c r="AL131" s="137"/>
      <c r="AM131" s="137"/>
      <c r="AN131" s="137"/>
      <c r="AO131" s="137"/>
      <c r="AP131" s="137"/>
      <c r="AQ131" s="137"/>
      <c r="AR131" s="137"/>
      <c r="AS131" s="137"/>
      <c r="AT131" s="137"/>
      <c r="AU131" s="137"/>
      <c r="AV131" s="137"/>
      <c r="AW131" s="137"/>
      <c r="AX131" s="137"/>
      <c r="AY131" s="137"/>
      <c r="AZ131" s="137"/>
      <c r="BA131" s="140"/>
      <c r="BB131" s="137"/>
      <c r="BC131" s="137"/>
      <c r="BD131" s="137"/>
      <c r="BE131" s="137"/>
      <c r="BF131" s="137"/>
      <c r="BG131" s="137"/>
      <c r="BH131" s="137"/>
    </row>
    <row r="132" spans="1:60" ht="12.75" customHeight="1" outlineLevel="1" x14ac:dyDescent="0.2">
      <c r="A132" s="166"/>
      <c r="B132" s="166"/>
      <c r="C132" s="200" t="s">
        <v>203</v>
      </c>
      <c r="D132" s="168"/>
      <c r="E132" s="171">
        <f>(0.16*0.14)*(20*2.5)*1.1</f>
        <v>1.2320000000000002</v>
      </c>
      <c r="F132" s="193"/>
      <c r="G132" s="177"/>
      <c r="H132" s="154"/>
      <c r="I132" s="154"/>
      <c r="J132" s="154"/>
      <c r="K132" s="154"/>
      <c r="L132" s="154"/>
      <c r="M132" s="154"/>
      <c r="N132" s="169"/>
      <c r="O132" s="169"/>
      <c r="P132" s="169"/>
      <c r="Q132" s="169"/>
      <c r="R132" s="149"/>
      <c r="S132" s="149"/>
      <c r="T132" s="150"/>
      <c r="U132" s="149"/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/>
      <c r="AF132" s="137"/>
      <c r="AG132" s="137"/>
      <c r="AH132" s="137"/>
      <c r="AI132" s="137"/>
      <c r="AJ132" s="137"/>
      <c r="AK132" s="137"/>
      <c r="AL132" s="137"/>
      <c r="AM132" s="137"/>
      <c r="AN132" s="137"/>
      <c r="AO132" s="137"/>
      <c r="AP132" s="137"/>
      <c r="AQ132" s="137"/>
      <c r="AR132" s="137"/>
      <c r="AS132" s="137"/>
      <c r="AT132" s="137"/>
      <c r="AU132" s="137"/>
      <c r="AV132" s="137"/>
      <c r="AW132" s="137"/>
      <c r="AX132" s="137"/>
      <c r="AY132" s="137"/>
      <c r="AZ132" s="137"/>
      <c r="BA132" s="140"/>
      <c r="BB132" s="137"/>
      <c r="BC132" s="137"/>
      <c r="BD132" s="137"/>
      <c r="BE132" s="137"/>
      <c r="BF132" s="137"/>
      <c r="BG132" s="137"/>
      <c r="BH132" s="137"/>
    </row>
    <row r="133" spans="1:60" ht="34.5" customHeight="1" outlineLevel="1" x14ac:dyDescent="0.2">
      <c r="A133" s="138">
        <v>31</v>
      </c>
      <c r="B133" s="138" t="s">
        <v>91</v>
      </c>
      <c r="C133" s="183" t="s">
        <v>152</v>
      </c>
      <c r="D133" s="173" t="s">
        <v>98</v>
      </c>
      <c r="E133" s="190">
        <f>E135</f>
        <v>0.25872000000000006</v>
      </c>
      <c r="F133" s="148"/>
      <c r="G133" s="149">
        <f>ROUND(E133*F133,2)</f>
        <v>0</v>
      </c>
      <c r="H133" s="149"/>
      <c r="I133" s="149"/>
      <c r="J133" s="149"/>
      <c r="K133" s="149"/>
      <c r="L133" s="149"/>
      <c r="M133" s="149"/>
      <c r="N133" s="145">
        <v>0.85</v>
      </c>
      <c r="O133" s="145">
        <f>ROUND(E133*N133,2)</f>
        <v>0.22</v>
      </c>
      <c r="P133" s="145">
        <v>0</v>
      </c>
      <c r="Q133" s="145">
        <f>ROUND(E133*P133,2)</f>
        <v>0</v>
      </c>
      <c r="R133" s="149"/>
      <c r="S133" s="149"/>
      <c r="T133" s="150"/>
      <c r="U133" s="149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  <c r="AF133" s="137"/>
      <c r="AG133" s="137"/>
      <c r="AH133" s="137"/>
      <c r="AI133" s="137"/>
      <c r="AJ133" s="137"/>
      <c r="AK133" s="137"/>
      <c r="AL133" s="137"/>
      <c r="AM133" s="137"/>
      <c r="AN133" s="137"/>
      <c r="AO133" s="137"/>
      <c r="AP133" s="137"/>
      <c r="AQ133" s="137"/>
      <c r="AR133" s="137"/>
      <c r="AS133" s="137"/>
      <c r="AT133" s="137"/>
      <c r="AU133" s="137"/>
      <c r="AV133" s="137"/>
      <c r="AW133" s="137"/>
      <c r="AX133" s="137"/>
      <c r="AY133" s="137"/>
      <c r="AZ133" s="137"/>
      <c r="BA133" s="140"/>
      <c r="BB133" s="137"/>
      <c r="BC133" s="137"/>
      <c r="BD133" s="137"/>
      <c r="BE133" s="137"/>
      <c r="BF133" s="137"/>
      <c r="BG133" s="137"/>
      <c r="BH133" s="137"/>
    </row>
    <row r="134" spans="1:60" ht="12.75" customHeight="1" outlineLevel="1" x14ac:dyDescent="0.2">
      <c r="A134" s="138"/>
      <c r="B134" s="138"/>
      <c r="C134" s="231" t="s">
        <v>153</v>
      </c>
      <c r="D134" s="173"/>
      <c r="E134" s="211"/>
      <c r="F134" s="165"/>
      <c r="G134" s="175"/>
      <c r="H134" s="149"/>
      <c r="I134" s="149"/>
      <c r="J134" s="149"/>
      <c r="K134" s="149"/>
      <c r="L134" s="149"/>
      <c r="M134" s="149"/>
      <c r="N134" s="145"/>
      <c r="O134" s="145"/>
      <c r="P134" s="145"/>
      <c r="Q134" s="145"/>
      <c r="R134" s="149"/>
      <c r="S134" s="149"/>
      <c r="T134" s="150"/>
      <c r="U134" s="149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7"/>
      <c r="AL134" s="137"/>
      <c r="AM134" s="137"/>
      <c r="AN134" s="137"/>
      <c r="AO134" s="137"/>
      <c r="AP134" s="137"/>
      <c r="AQ134" s="137"/>
      <c r="AR134" s="137"/>
      <c r="AS134" s="137"/>
      <c r="AT134" s="137"/>
      <c r="AU134" s="137"/>
      <c r="AV134" s="137"/>
      <c r="AW134" s="137"/>
      <c r="AX134" s="137"/>
      <c r="AY134" s="137"/>
      <c r="AZ134" s="137"/>
      <c r="BA134" s="140"/>
      <c r="BB134" s="137"/>
      <c r="BC134" s="137"/>
      <c r="BD134" s="137"/>
      <c r="BE134" s="137"/>
      <c r="BF134" s="137"/>
      <c r="BG134" s="137"/>
      <c r="BH134" s="137"/>
    </row>
    <row r="135" spans="1:60" ht="12.75" customHeight="1" outlineLevel="1" x14ac:dyDescent="0.2">
      <c r="A135" s="166"/>
      <c r="B135" s="172"/>
      <c r="C135" s="227" t="s">
        <v>187</v>
      </c>
      <c r="D135" s="168"/>
      <c r="E135" s="171">
        <f>(0.14*0.14)*(8*1.5)*1.1</f>
        <v>0.25872000000000006</v>
      </c>
      <c r="F135" s="193"/>
      <c r="G135" s="177"/>
      <c r="H135" s="154"/>
      <c r="I135" s="154"/>
      <c r="J135" s="154"/>
      <c r="K135" s="154"/>
      <c r="L135" s="154"/>
      <c r="M135" s="154"/>
      <c r="N135" s="169"/>
      <c r="O135" s="169"/>
      <c r="P135" s="169"/>
      <c r="Q135" s="169"/>
      <c r="R135" s="149"/>
      <c r="S135" s="149"/>
      <c r="T135" s="150"/>
      <c r="U135" s="149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  <c r="AH135" s="137"/>
      <c r="AI135" s="137"/>
      <c r="AJ135" s="137"/>
      <c r="AK135" s="137"/>
      <c r="AL135" s="137"/>
      <c r="AM135" s="137"/>
      <c r="AN135" s="137"/>
      <c r="AO135" s="137"/>
      <c r="AP135" s="137"/>
      <c r="AQ135" s="137"/>
      <c r="AR135" s="137"/>
      <c r="AS135" s="137"/>
      <c r="AT135" s="137"/>
      <c r="AU135" s="137"/>
      <c r="AV135" s="137"/>
      <c r="AW135" s="137"/>
      <c r="AX135" s="137"/>
      <c r="AY135" s="137"/>
      <c r="AZ135" s="137"/>
      <c r="BA135" s="140"/>
      <c r="BB135" s="137"/>
      <c r="BC135" s="137"/>
      <c r="BD135" s="137"/>
      <c r="BE135" s="137"/>
      <c r="BF135" s="137"/>
      <c r="BG135" s="137"/>
      <c r="BH135" s="137"/>
    </row>
    <row r="136" spans="1:60" ht="34.5" customHeight="1" outlineLevel="1" x14ac:dyDescent="0.2">
      <c r="A136" s="138">
        <v>32</v>
      </c>
      <c r="B136" s="138" t="s">
        <v>91</v>
      </c>
      <c r="C136" s="183" t="s">
        <v>195</v>
      </c>
      <c r="D136" s="173" t="s">
        <v>98</v>
      </c>
      <c r="E136" s="190">
        <f>E138</f>
        <v>4.2648320000000002</v>
      </c>
      <c r="F136" s="148"/>
      <c r="G136" s="149">
        <f>ROUND(E136*F136,2)</f>
        <v>0</v>
      </c>
      <c r="H136" s="149"/>
      <c r="I136" s="149"/>
      <c r="J136" s="149"/>
      <c r="K136" s="149"/>
      <c r="L136" s="149"/>
      <c r="M136" s="149"/>
      <c r="N136" s="145">
        <v>0.85</v>
      </c>
      <c r="O136" s="145">
        <f>ROUND(E136*N136,2)</f>
        <v>3.63</v>
      </c>
      <c r="P136" s="145">
        <v>0</v>
      </c>
      <c r="Q136" s="145">
        <f>ROUND(E136*P136,2)</f>
        <v>0</v>
      </c>
      <c r="R136" s="149"/>
      <c r="S136" s="149"/>
      <c r="T136" s="150"/>
      <c r="U136" s="149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7"/>
      <c r="AG136" s="137"/>
      <c r="AH136" s="137"/>
      <c r="AI136" s="137"/>
      <c r="AJ136" s="137"/>
      <c r="AK136" s="137"/>
      <c r="AL136" s="137"/>
      <c r="AM136" s="137"/>
      <c r="AN136" s="137"/>
      <c r="AO136" s="137"/>
      <c r="AP136" s="137"/>
      <c r="AQ136" s="137"/>
      <c r="AR136" s="137"/>
      <c r="AS136" s="137"/>
      <c r="AT136" s="137"/>
      <c r="AU136" s="137"/>
      <c r="AV136" s="137"/>
      <c r="AW136" s="137"/>
      <c r="AX136" s="137"/>
      <c r="AY136" s="137"/>
      <c r="AZ136" s="137"/>
      <c r="BA136" s="140"/>
      <c r="BB136" s="137"/>
      <c r="BC136" s="137"/>
      <c r="BD136" s="137"/>
      <c r="BE136" s="137"/>
      <c r="BF136" s="137"/>
      <c r="BG136" s="137"/>
      <c r="BH136" s="137"/>
    </row>
    <row r="137" spans="1:60" ht="23.25" customHeight="1" outlineLevel="1" x14ac:dyDescent="0.2">
      <c r="A137" s="138"/>
      <c r="B137" s="138"/>
      <c r="C137" s="231" t="s">
        <v>196</v>
      </c>
      <c r="D137" s="173"/>
      <c r="E137" s="211"/>
      <c r="F137" s="165"/>
      <c r="G137" s="175"/>
      <c r="H137" s="149"/>
      <c r="I137" s="149"/>
      <c r="J137" s="149"/>
      <c r="K137" s="149"/>
      <c r="L137" s="149"/>
      <c r="M137" s="149"/>
      <c r="N137" s="145"/>
      <c r="O137" s="145"/>
      <c r="P137" s="145"/>
      <c r="Q137" s="145"/>
      <c r="R137" s="149"/>
      <c r="S137" s="149"/>
      <c r="T137" s="150"/>
      <c r="U137" s="149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  <c r="AH137" s="137"/>
      <c r="AI137" s="137"/>
      <c r="AJ137" s="137"/>
      <c r="AK137" s="137"/>
      <c r="AL137" s="137"/>
      <c r="AM137" s="137"/>
      <c r="AN137" s="137"/>
      <c r="AO137" s="137"/>
      <c r="AP137" s="137"/>
      <c r="AQ137" s="137"/>
      <c r="AR137" s="137"/>
      <c r="AS137" s="137"/>
      <c r="AT137" s="137"/>
      <c r="AU137" s="137"/>
      <c r="AV137" s="137"/>
      <c r="AW137" s="137"/>
      <c r="AX137" s="137"/>
      <c r="AY137" s="137"/>
      <c r="AZ137" s="137"/>
      <c r="BA137" s="140"/>
      <c r="BB137" s="137"/>
      <c r="BC137" s="137"/>
      <c r="BD137" s="137"/>
      <c r="BE137" s="137"/>
      <c r="BF137" s="137"/>
      <c r="BG137" s="137"/>
      <c r="BH137" s="137"/>
    </row>
    <row r="138" spans="1:60" ht="12.75" customHeight="1" outlineLevel="1" x14ac:dyDescent="0.2">
      <c r="A138" s="166"/>
      <c r="B138" s="172"/>
      <c r="C138" s="227" t="s">
        <v>197</v>
      </c>
      <c r="D138" s="168"/>
      <c r="E138" s="171">
        <f>(0.08*0.16)*(12.5+10.8)*13*1.1</f>
        <v>4.2648320000000002</v>
      </c>
      <c r="F138" s="193"/>
      <c r="G138" s="177"/>
      <c r="H138" s="154"/>
      <c r="I138" s="154"/>
      <c r="J138" s="154"/>
      <c r="K138" s="154"/>
      <c r="L138" s="154"/>
      <c r="M138" s="154"/>
      <c r="N138" s="169"/>
      <c r="O138" s="169"/>
      <c r="P138" s="169"/>
      <c r="Q138" s="169"/>
      <c r="R138" s="149"/>
      <c r="S138" s="149"/>
      <c r="T138" s="150"/>
      <c r="U138" s="149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7"/>
      <c r="AG138" s="137"/>
      <c r="AH138" s="137"/>
      <c r="AI138" s="137"/>
      <c r="AJ138" s="137"/>
      <c r="AK138" s="137"/>
      <c r="AL138" s="137"/>
      <c r="AM138" s="137"/>
      <c r="AN138" s="137"/>
      <c r="AO138" s="137"/>
      <c r="AP138" s="137"/>
      <c r="AQ138" s="137"/>
      <c r="AR138" s="137"/>
      <c r="AS138" s="137"/>
      <c r="AT138" s="137"/>
      <c r="AU138" s="137"/>
      <c r="AV138" s="137"/>
      <c r="AW138" s="137"/>
      <c r="AX138" s="137"/>
      <c r="AY138" s="137"/>
      <c r="AZ138" s="137"/>
      <c r="BA138" s="140"/>
      <c r="BB138" s="137"/>
      <c r="BC138" s="137"/>
      <c r="BD138" s="137"/>
      <c r="BE138" s="137"/>
      <c r="BF138" s="137"/>
      <c r="BG138" s="137"/>
      <c r="BH138" s="137"/>
    </row>
    <row r="139" spans="1:60" ht="22.5" outlineLevel="1" x14ac:dyDescent="0.2">
      <c r="A139" s="138">
        <v>33</v>
      </c>
      <c r="B139" s="167" t="s">
        <v>92</v>
      </c>
      <c r="C139" s="183" t="s">
        <v>163</v>
      </c>
      <c r="D139" s="254" t="s">
        <v>164</v>
      </c>
      <c r="E139" s="190">
        <f>E140</f>
        <v>6</v>
      </c>
      <c r="F139" s="148"/>
      <c r="G139" s="149">
        <f>ROUND(E139*F139,2)</f>
        <v>0</v>
      </c>
      <c r="H139" s="149"/>
      <c r="I139" s="149"/>
      <c r="J139" s="149"/>
      <c r="K139" s="149"/>
      <c r="L139" s="149"/>
      <c r="M139" s="149"/>
      <c r="N139" s="145">
        <v>0</v>
      </c>
      <c r="O139" s="145">
        <f>ROUND(E139*N139,2)</f>
        <v>0</v>
      </c>
      <c r="P139" s="145">
        <v>0</v>
      </c>
      <c r="Q139" s="145">
        <f>ROUND(E139*P139,2)</f>
        <v>0</v>
      </c>
      <c r="R139" s="149"/>
      <c r="S139" s="149"/>
      <c r="T139" s="150"/>
      <c r="U139" s="149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/>
      <c r="AF139" s="137"/>
      <c r="AG139" s="137"/>
      <c r="AH139" s="137"/>
      <c r="AI139" s="137"/>
      <c r="AJ139" s="137"/>
      <c r="AK139" s="137"/>
      <c r="AL139" s="137"/>
      <c r="AM139" s="137"/>
      <c r="AN139" s="137"/>
      <c r="AO139" s="137"/>
      <c r="AP139" s="137"/>
      <c r="AQ139" s="137"/>
      <c r="AR139" s="137"/>
      <c r="AS139" s="137"/>
      <c r="AT139" s="137"/>
      <c r="AU139" s="137"/>
      <c r="AV139" s="137"/>
      <c r="AW139" s="137"/>
      <c r="AX139" s="137"/>
      <c r="AY139" s="137"/>
      <c r="AZ139" s="137"/>
      <c r="BA139" s="140"/>
      <c r="BB139" s="137"/>
      <c r="BC139" s="137"/>
      <c r="BD139" s="137"/>
      <c r="BE139" s="137"/>
      <c r="BF139" s="137"/>
      <c r="BG139" s="137"/>
      <c r="BH139" s="137"/>
    </row>
    <row r="140" spans="1:60" outlineLevel="1" x14ac:dyDescent="0.2">
      <c r="A140" s="166"/>
      <c r="B140" s="214"/>
      <c r="C140" s="200">
        <v>6</v>
      </c>
      <c r="D140" s="168"/>
      <c r="E140" s="171">
        <v>6</v>
      </c>
      <c r="F140" s="193"/>
      <c r="G140" s="154"/>
      <c r="H140" s="154"/>
      <c r="I140" s="154"/>
      <c r="J140" s="154"/>
      <c r="K140" s="154"/>
      <c r="L140" s="154"/>
      <c r="M140" s="154"/>
      <c r="N140" s="169"/>
      <c r="O140" s="169"/>
      <c r="P140" s="169"/>
      <c r="Q140" s="169"/>
      <c r="R140" s="149"/>
      <c r="S140" s="149"/>
      <c r="T140" s="150"/>
      <c r="U140" s="149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  <c r="AF140" s="137"/>
      <c r="AG140" s="137"/>
      <c r="AH140" s="137"/>
      <c r="AI140" s="137"/>
      <c r="AJ140" s="137"/>
      <c r="AK140" s="137"/>
      <c r="AL140" s="137"/>
      <c r="AM140" s="137"/>
      <c r="AN140" s="137"/>
      <c r="AO140" s="137"/>
      <c r="AP140" s="137"/>
      <c r="AQ140" s="137"/>
      <c r="AR140" s="137"/>
      <c r="AS140" s="137"/>
      <c r="AT140" s="137"/>
      <c r="AU140" s="137"/>
      <c r="AV140" s="137"/>
      <c r="AW140" s="137"/>
      <c r="AX140" s="137"/>
      <c r="AY140" s="137"/>
      <c r="AZ140" s="137"/>
      <c r="BA140" s="140"/>
      <c r="BB140" s="137"/>
      <c r="BC140" s="137"/>
      <c r="BD140" s="137"/>
      <c r="BE140" s="137"/>
      <c r="BF140" s="137"/>
      <c r="BG140" s="137"/>
      <c r="BH140" s="137"/>
    </row>
    <row r="141" spans="1:60" ht="33.75" outlineLevel="1" x14ac:dyDescent="0.2">
      <c r="A141" s="138">
        <v>34</v>
      </c>
      <c r="B141" s="167">
        <v>762395000</v>
      </c>
      <c r="C141" s="250" t="s">
        <v>208</v>
      </c>
      <c r="D141" s="173" t="s">
        <v>98</v>
      </c>
      <c r="E141" s="247">
        <f>E148</f>
        <v>7.7112619999999996</v>
      </c>
      <c r="F141" s="148"/>
      <c r="G141" s="149">
        <f>ROUND(E141*F141,2)</f>
        <v>0</v>
      </c>
      <c r="H141" s="149"/>
      <c r="I141" s="149"/>
      <c r="J141" s="149"/>
      <c r="K141" s="149"/>
      <c r="L141" s="149"/>
      <c r="M141" s="149"/>
      <c r="N141" s="145">
        <v>2.3369999999999998E-2</v>
      </c>
      <c r="O141" s="145">
        <f>ROUND(E141*N141,2)</f>
        <v>0.18</v>
      </c>
      <c r="P141" s="145">
        <v>0</v>
      </c>
      <c r="Q141" s="145">
        <f>ROUND(E141*P141,2)</f>
        <v>0</v>
      </c>
      <c r="R141" s="149"/>
      <c r="S141" s="149"/>
      <c r="T141" s="150"/>
      <c r="U141" s="149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/>
      <c r="AF141" s="137"/>
      <c r="AG141" s="137"/>
      <c r="AH141" s="137"/>
      <c r="AI141" s="137"/>
      <c r="AJ141" s="137"/>
      <c r="AK141" s="137"/>
      <c r="AL141" s="137"/>
      <c r="AM141" s="137"/>
      <c r="AN141" s="137"/>
      <c r="AO141" s="137"/>
      <c r="AP141" s="137"/>
      <c r="AQ141" s="137"/>
      <c r="AR141" s="137"/>
      <c r="AS141" s="137"/>
      <c r="AT141" s="137"/>
      <c r="AU141" s="137"/>
      <c r="AV141" s="137"/>
      <c r="AW141" s="137"/>
      <c r="AX141" s="137"/>
      <c r="AY141" s="137"/>
      <c r="AZ141" s="137"/>
      <c r="BA141" s="140"/>
      <c r="BB141" s="137"/>
      <c r="BC141" s="137"/>
      <c r="BD141" s="137"/>
      <c r="BE141" s="137"/>
      <c r="BF141" s="137"/>
      <c r="BG141" s="137"/>
      <c r="BH141" s="137"/>
    </row>
    <row r="142" spans="1:60" outlineLevel="1" x14ac:dyDescent="0.2">
      <c r="A142" s="138"/>
      <c r="B142" s="167"/>
      <c r="C142" s="231" t="s">
        <v>209</v>
      </c>
      <c r="D142" s="143"/>
      <c r="E142" s="247"/>
      <c r="F142" s="165"/>
      <c r="G142" s="149"/>
      <c r="H142" s="149"/>
      <c r="I142" s="149"/>
      <c r="J142" s="149"/>
      <c r="K142" s="149"/>
      <c r="L142" s="149"/>
      <c r="M142" s="149"/>
      <c r="N142" s="145"/>
      <c r="O142" s="145"/>
      <c r="P142" s="145"/>
      <c r="Q142" s="145"/>
      <c r="R142" s="149"/>
      <c r="S142" s="149"/>
      <c r="T142" s="150"/>
      <c r="U142" s="149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/>
      <c r="AF142" s="137"/>
      <c r="AG142" s="137"/>
      <c r="AH142" s="137"/>
      <c r="AI142" s="137"/>
      <c r="AJ142" s="137"/>
      <c r="AK142" s="137"/>
      <c r="AL142" s="137"/>
      <c r="AM142" s="137"/>
      <c r="AN142" s="137"/>
      <c r="AO142" s="137"/>
      <c r="AP142" s="137"/>
      <c r="AQ142" s="137"/>
      <c r="AR142" s="137"/>
      <c r="AS142" s="137"/>
      <c r="AT142" s="137"/>
      <c r="AU142" s="137"/>
      <c r="AV142" s="137"/>
      <c r="AW142" s="137"/>
      <c r="AX142" s="137"/>
      <c r="AY142" s="137"/>
      <c r="AZ142" s="137"/>
      <c r="BA142" s="140"/>
      <c r="BB142" s="137"/>
      <c r="BC142" s="137"/>
      <c r="BD142" s="137"/>
      <c r="BE142" s="137"/>
      <c r="BF142" s="137"/>
      <c r="BG142" s="137"/>
      <c r="BH142" s="137"/>
    </row>
    <row r="143" spans="1:60" outlineLevel="1" x14ac:dyDescent="0.2">
      <c r="A143" s="138"/>
      <c r="B143" s="167"/>
      <c r="C143" s="251" t="s">
        <v>210</v>
      </c>
      <c r="D143" s="195"/>
      <c r="E143" s="196">
        <f>(0.12*0.18)*((4*12.5)+(4*10.8))*1.1</f>
        <v>2.214432</v>
      </c>
      <c r="F143" s="165"/>
      <c r="G143" s="149"/>
      <c r="H143" s="149"/>
      <c r="I143" s="149"/>
      <c r="J143" s="149"/>
      <c r="K143" s="149"/>
      <c r="L143" s="149"/>
      <c r="M143" s="149"/>
      <c r="N143" s="145"/>
      <c r="O143" s="145"/>
      <c r="P143" s="145"/>
      <c r="Q143" s="145"/>
      <c r="R143" s="149"/>
      <c r="S143" s="149"/>
      <c r="T143" s="150"/>
      <c r="U143" s="149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/>
      <c r="AF143" s="137"/>
      <c r="AG143" s="137"/>
      <c r="AH143" s="137"/>
      <c r="AI143" s="137"/>
      <c r="AJ143" s="137"/>
      <c r="AK143" s="137"/>
      <c r="AL143" s="137"/>
      <c r="AM143" s="137"/>
      <c r="AN143" s="137"/>
      <c r="AO143" s="137"/>
      <c r="AP143" s="137"/>
      <c r="AQ143" s="137"/>
      <c r="AR143" s="137"/>
      <c r="AS143" s="137"/>
      <c r="AT143" s="137"/>
      <c r="AU143" s="137"/>
      <c r="AV143" s="137"/>
      <c r="AW143" s="137"/>
      <c r="AX143" s="137"/>
      <c r="AY143" s="137"/>
      <c r="AZ143" s="137"/>
      <c r="BA143" s="140"/>
      <c r="BB143" s="137"/>
      <c r="BC143" s="137"/>
      <c r="BD143" s="137"/>
      <c r="BE143" s="137"/>
      <c r="BF143" s="137"/>
      <c r="BG143" s="137"/>
      <c r="BH143" s="137"/>
    </row>
    <row r="144" spans="1:60" outlineLevel="1" x14ac:dyDescent="0.2">
      <c r="A144" s="138"/>
      <c r="B144" s="167"/>
      <c r="C144" s="231" t="s">
        <v>211</v>
      </c>
      <c r="D144" s="143"/>
      <c r="E144" s="247"/>
      <c r="F144" s="165"/>
      <c r="G144" s="149"/>
      <c r="H144" s="149"/>
      <c r="I144" s="149"/>
      <c r="J144" s="149"/>
      <c r="K144" s="149"/>
      <c r="L144" s="149"/>
      <c r="M144" s="149"/>
      <c r="N144" s="145"/>
      <c r="O144" s="145"/>
      <c r="P144" s="145"/>
      <c r="Q144" s="145"/>
      <c r="R144" s="149"/>
      <c r="S144" s="149"/>
      <c r="T144" s="150"/>
      <c r="U144" s="149"/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/>
      <c r="AF144" s="137"/>
      <c r="AG144" s="137"/>
      <c r="AH144" s="137"/>
      <c r="AI144" s="137"/>
      <c r="AJ144" s="137"/>
      <c r="AK144" s="137"/>
      <c r="AL144" s="137"/>
      <c r="AM144" s="137"/>
      <c r="AN144" s="137"/>
      <c r="AO144" s="137"/>
      <c r="AP144" s="137"/>
      <c r="AQ144" s="137"/>
      <c r="AR144" s="137"/>
      <c r="AS144" s="137"/>
      <c r="AT144" s="137"/>
      <c r="AU144" s="137"/>
      <c r="AV144" s="137"/>
      <c r="AW144" s="137"/>
      <c r="AX144" s="137"/>
      <c r="AY144" s="137"/>
      <c r="AZ144" s="137"/>
      <c r="BA144" s="140"/>
      <c r="BB144" s="137"/>
      <c r="BC144" s="137"/>
      <c r="BD144" s="137"/>
      <c r="BE144" s="137"/>
      <c r="BF144" s="137"/>
      <c r="BG144" s="137"/>
      <c r="BH144" s="137"/>
    </row>
    <row r="145" spans="1:60" outlineLevel="1" x14ac:dyDescent="0.2">
      <c r="A145" s="138"/>
      <c r="B145" s="167"/>
      <c r="C145" s="252">
        <v>1.232</v>
      </c>
      <c r="D145" s="195"/>
      <c r="E145" s="196">
        <v>1.232</v>
      </c>
      <c r="F145" s="165"/>
      <c r="G145" s="149"/>
      <c r="H145" s="149"/>
      <c r="I145" s="149"/>
      <c r="J145" s="149"/>
      <c r="K145" s="149"/>
      <c r="L145" s="149"/>
      <c r="M145" s="149"/>
      <c r="N145" s="145"/>
      <c r="O145" s="145"/>
      <c r="P145" s="145"/>
      <c r="Q145" s="145"/>
      <c r="R145" s="149"/>
      <c r="S145" s="149"/>
      <c r="T145" s="150"/>
      <c r="U145" s="149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/>
      <c r="AF145" s="137"/>
      <c r="AG145" s="137"/>
      <c r="AH145" s="137"/>
      <c r="AI145" s="137"/>
      <c r="AJ145" s="137"/>
      <c r="AK145" s="137"/>
      <c r="AL145" s="137"/>
      <c r="AM145" s="137"/>
      <c r="AN145" s="137"/>
      <c r="AO145" s="137"/>
      <c r="AP145" s="137"/>
      <c r="AQ145" s="137"/>
      <c r="AR145" s="137"/>
      <c r="AS145" s="137"/>
      <c r="AT145" s="137"/>
      <c r="AU145" s="137"/>
      <c r="AV145" s="137"/>
      <c r="AW145" s="137"/>
      <c r="AX145" s="137"/>
      <c r="AY145" s="137"/>
      <c r="AZ145" s="137"/>
      <c r="BA145" s="140"/>
      <c r="BB145" s="137"/>
      <c r="BC145" s="137"/>
      <c r="BD145" s="137"/>
      <c r="BE145" s="137"/>
      <c r="BF145" s="137"/>
      <c r="BG145" s="137"/>
      <c r="BH145" s="137"/>
    </row>
    <row r="146" spans="1:60" ht="22.5" outlineLevel="1" x14ac:dyDescent="0.2">
      <c r="A146" s="138"/>
      <c r="B146" s="167"/>
      <c r="C146" s="231" t="s">
        <v>196</v>
      </c>
      <c r="D146" s="143"/>
      <c r="E146" s="247"/>
      <c r="F146" s="165"/>
      <c r="G146" s="149"/>
      <c r="H146" s="149"/>
      <c r="I146" s="149"/>
      <c r="J146" s="149"/>
      <c r="K146" s="149"/>
      <c r="L146" s="149"/>
      <c r="M146" s="149"/>
      <c r="N146" s="145"/>
      <c r="O146" s="145"/>
      <c r="P146" s="145"/>
      <c r="Q146" s="145"/>
      <c r="R146" s="149"/>
      <c r="S146" s="149"/>
      <c r="T146" s="150"/>
      <c r="U146" s="149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/>
      <c r="AF146" s="137"/>
      <c r="AG146" s="137"/>
      <c r="AH146" s="137"/>
      <c r="AI146" s="137"/>
      <c r="AJ146" s="137"/>
      <c r="AK146" s="137"/>
      <c r="AL146" s="137"/>
      <c r="AM146" s="137"/>
      <c r="AN146" s="137"/>
      <c r="AO146" s="137"/>
      <c r="AP146" s="137"/>
      <c r="AQ146" s="137"/>
      <c r="AR146" s="137"/>
      <c r="AS146" s="137"/>
      <c r="AT146" s="137"/>
      <c r="AU146" s="137"/>
      <c r="AV146" s="137"/>
      <c r="AW146" s="137"/>
      <c r="AX146" s="137"/>
      <c r="AY146" s="137"/>
      <c r="AZ146" s="137"/>
      <c r="BA146" s="140"/>
      <c r="BB146" s="137"/>
      <c r="BC146" s="137"/>
      <c r="BD146" s="137"/>
      <c r="BE146" s="137"/>
      <c r="BF146" s="137"/>
      <c r="BG146" s="137"/>
      <c r="BH146" s="137"/>
    </row>
    <row r="147" spans="1:60" outlineLevel="1" x14ac:dyDescent="0.2">
      <c r="A147" s="138"/>
      <c r="B147" s="167"/>
      <c r="C147" s="252">
        <v>4.2648299999999999</v>
      </c>
      <c r="D147" s="143"/>
      <c r="E147" s="171">
        <v>4.2648299999999999</v>
      </c>
      <c r="F147" s="165"/>
      <c r="G147" s="149"/>
      <c r="H147" s="149"/>
      <c r="I147" s="149"/>
      <c r="J147" s="149"/>
      <c r="K147" s="149"/>
      <c r="L147" s="149"/>
      <c r="M147" s="149"/>
      <c r="N147" s="145"/>
      <c r="O147" s="145"/>
      <c r="P147" s="145"/>
      <c r="Q147" s="145"/>
      <c r="R147" s="149"/>
      <c r="S147" s="149"/>
      <c r="T147" s="150"/>
      <c r="U147" s="149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/>
      <c r="AF147" s="137"/>
      <c r="AG147" s="137"/>
      <c r="AH147" s="137"/>
      <c r="AI147" s="137"/>
      <c r="AJ147" s="137"/>
      <c r="AK147" s="137"/>
      <c r="AL147" s="137"/>
      <c r="AM147" s="137"/>
      <c r="AN147" s="137"/>
      <c r="AO147" s="137"/>
      <c r="AP147" s="137"/>
      <c r="AQ147" s="137"/>
      <c r="AR147" s="137"/>
      <c r="AS147" s="137"/>
      <c r="AT147" s="137"/>
      <c r="AU147" s="137"/>
      <c r="AV147" s="137"/>
      <c r="AW147" s="137"/>
      <c r="AX147" s="137"/>
      <c r="AY147" s="137"/>
      <c r="AZ147" s="137"/>
      <c r="BA147" s="140"/>
      <c r="BB147" s="137"/>
      <c r="BC147" s="137"/>
      <c r="BD147" s="137"/>
      <c r="BE147" s="137"/>
      <c r="BF147" s="137"/>
      <c r="BG147" s="137"/>
      <c r="BH147" s="137"/>
    </row>
    <row r="148" spans="1:60" outlineLevel="1" x14ac:dyDescent="0.2">
      <c r="A148" s="166"/>
      <c r="B148" s="214"/>
      <c r="C148" s="248"/>
      <c r="D148" s="168"/>
      <c r="E148" s="249">
        <f>SUM(E143:E147)</f>
        <v>7.7112619999999996</v>
      </c>
      <c r="F148" s="193"/>
      <c r="G148" s="154"/>
      <c r="H148" s="154"/>
      <c r="I148" s="154"/>
      <c r="J148" s="154"/>
      <c r="K148" s="154"/>
      <c r="L148" s="154"/>
      <c r="M148" s="154"/>
      <c r="N148" s="169"/>
      <c r="O148" s="169"/>
      <c r="P148" s="169"/>
      <c r="Q148" s="169"/>
      <c r="R148" s="149"/>
      <c r="S148" s="149"/>
      <c r="T148" s="150"/>
      <c r="U148" s="149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/>
      <c r="AF148" s="137"/>
      <c r="AG148" s="137"/>
      <c r="AH148" s="137"/>
      <c r="AI148" s="137"/>
      <c r="AJ148" s="137"/>
      <c r="AK148" s="137"/>
      <c r="AL148" s="137"/>
      <c r="AM148" s="137"/>
      <c r="AN148" s="137"/>
      <c r="AO148" s="137"/>
      <c r="AP148" s="137"/>
      <c r="AQ148" s="137"/>
      <c r="AR148" s="137"/>
      <c r="AS148" s="137"/>
      <c r="AT148" s="137"/>
      <c r="AU148" s="137"/>
      <c r="AV148" s="137"/>
      <c r="AW148" s="137"/>
      <c r="AX148" s="137"/>
      <c r="AY148" s="137"/>
      <c r="AZ148" s="137"/>
      <c r="BA148" s="140"/>
      <c r="BB148" s="137"/>
      <c r="BC148" s="137"/>
      <c r="BD148" s="137"/>
      <c r="BE148" s="137"/>
      <c r="BF148" s="137"/>
      <c r="BG148" s="137"/>
      <c r="BH148" s="137"/>
    </row>
    <row r="149" spans="1:60" outlineLevel="1" x14ac:dyDescent="0.2">
      <c r="A149" s="138">
        <v>35</v>
      </c>
      <c r="B149" s="167" t="s">
        <v>179</v>
      </c>
      <c r="C149" s="183" t="s">
        <v>180</v>
      </c>
      <c r="D149" s="173" t="s">
        <v>104</v>
      </c>
      <c r="E149" s="190">
        <f>E151</f>
        <v>135</v>
      </c>
      <c r="F149" s="148"/>
      <c r="G149" s="149">
        <f>ROUND(E149*F149,2)</f>
        <v>0</v>
      </c>
      <c r="H149" s="149"/>
      <c r="I149" s="149"/>
      <c r="J149" s="149"/>
      <c r="K149" s="149"/>
      <c r="L149" s="149"/>
      <c r="M149" s="149"/>
      <c r="N149" s="145">
        <v>0</v>
      </c>
      <c r="O149" s="145">
        <f>ROUND(E149*N149,2)</f>
        <v>0</v>
      </c>
      <c r="P149" s="145">
        <v>0</v>
      </c>
      <c r="Q149" s="145">
        <f>ROUND(E149*P149,2)</f>
        <v>0</v>
      </c>
      <c r="R149" s="149"/>
      <c r="S149" s="149"/>
      <c r="T149" s="150"/>
      <c r="U149" s="149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137"/>
      <c r="AF149" s="137"/>
      <c r="AG149" s="137"/>
      <c r="AH149" s="137"/>
      <c r="AI149" s="137"/>
      <c r="AJ149" s="137"/>
      <c r="AK149" s="137"/>
      <c r="AL149" s="137"/>
      <c r="AM149" s="137"/>
      <c r="AN149" s="137"/>
      <c r="AO149" s="137"/>
      <c r="AP149" s="137"/>
      <c r="AQ149" s="137"/>
      <c r="AR149" s="137"/>
      <c r="AS149" s="137"/>
      <c r="AT149" s="137"/>
      <c r="AU149" s="137"/>
      <c r="AV149" s="137"/>
      <c r="AW149" s="137"/>
      <c r="AX149" s="137"/>
      <c r="AY149" s="137"/>
      <c r="AZ149" s="137"/>
      <c r="BA149" s="140"/>
      <c r="BB149" s="137"/>
      <c r="BC149" s="137"/>
      <c r="BD149" s="137"/>
      <c r="BE149" s="137"/>
      <c r="BF149" s="137"/>
      <c r="BG149" s="137"/>
      <c r="BH149" s="137"/>
    </row>
    <row r="150" spans="1:60" ht="33.75" outlineLevel="1" x14ac:dyDescent="0.2">
      <c r="A150" s="138"/>
      <c r="B150" s="167"/>
      <c r="C150" s="231" t="s">
        <v>181</v>
      </c>
      <c r="D150" s="173"/>
      <c r="E150" s="190"/>
      <c r="F150" s="165"/>
      <c r="G150" s="149"/>
      <c r="H150" s="149"/>
      <c r="I150" s="149"/>
      <c r="J150" s="149"/>
      <c r="K150" s="149"/>
      <c r="L150" s="149"/>
      <c r="M150" s="149"/>
      <c r="N150" s="145"/>
      <c r="O150" s="145"/>
      <c r="P150" s="145"/>
      <c r="Q150" s="145"/>
      <c r="R150" s="149"/>
      <c r="S150" s="149"/>
      <c r="T150" s="150"/>
      <c r="U150" s="149"/>
      <c r="V150" s="137"/>
      <c r="W150" s="137"/>
      <c r="X150" s="137"/>
      <c r="Y150" s="137"/>
      <c r="Z150" s="137"/>
      <c r="AA150" s="137"/>
      <c r="AB150" s="137"/>
      <c r="AC150" s="137"/>
      <c r="AD150" s="137"/>
      <c r="AE150" s="137"/>
      <c r="AF150" s="137"/>
      <c r="AG150" s="137"/>
      <c r="AH150" s="137"/>
      <c r="AI150" s="137"/>
      <c r="AJ150" s="137"/>
      <c r="AK150" s="137"/>
      <c r="AL150" s="137"/>
      <c r="AM150" s="137"/>
      <c r="AN150" s="137"/>
      <c r="AO150" s="137"/>
      <c r="AP150" s="137"/>
      <c r="AQ150" s="137"/>
      <c r="AR150" s="137"/>
      <c r="AS150" s="137"/>
      <c r="AT150" s="137"/>
      <c r="AU150" s="137"/>
      <c r="AV150" s="137"/>
      <c r="AW150" s="137"/>
      <c r="AX150" s="137"/>
      <c r="AY150" s="137"/>
      <c r="AZ150" s="137"/>
      <c r="BA150" s="140"/>
      <c r="BB150" s="137"/>
      <c r="BC150" s="137"/>
      <c r="BD150" s="137"/>
      <c r="BE150" s="137"/>
      <c r="BF150" s="137"/>
      <c r="BG150" s="137"/>
      <c r="BH150" s="137"/>
    </row>
    <row r="151" spans="1:60" outlineLevel="1" x14ac:dyDescent="0.2">
      <c r="A151" s="166"/>
      <c r="B151" s="172"/>
      <c r="C151" s="200">
        <v>135</v>
      </c>
      <c r="D151" s="168"/>
      <c r="E151" s="171">
        <v>135</v>
      </c>
      <c r="F151" s="168"/>
      <c r="G151" s="168"/>
      <c r="H151" s="154"/>
      <c r="I151" s="154"/>
      <c r="J151" s="154"/>
      <c r="K151" s="154"/>
      <c r="L151" s="154"/>
      <c r="M151" s="154"/>
      <c r="N151" s="154"/>
      <c r="O151" s="154"/>
      <c r="P151" s="154"/>
      <c r="Q151" s="154"/>
      <c r="R151" s="149"/>
      <c r="S151" s="149"/>
      <c r="T151" s="150"/>
      <c r="U151" s="149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137"/>
      <c r="AF151" s="137"/>
      <c r="AG151" s="137"/>
      <c r="AH151" s="137"/>
      <c r="AI151" s="137"/>
      <c r="AJ151" s="137"/>
      <c r="AK151" s="137"/>
      <c r="AL151" s="137"/>
      <c r="AM151" s="137"/>
      <c r="AN151" s="137"/>
      <c r="AO151" s="137"/>
      <c r="AP151" s="137"/>
      <c r="AQ151" s="137"/>
      <c r="AR151" s="137"/>
      <c r="AS151" s="137"/>
      <c r="AT151" s="137"/>
      <c r="AU151" s="137"/>
      <c r="AV151" s="137"/>
      <c r="AW151" s="137"/>
      <c r="AX151" s="137"/>
      <c r="AY151" s="137"/>
      <c r="AZ151" s="137"/>
      <c r="BA151" s="140"/>
      <c r="BB151" s="137"/>
      <c r="BC151" s="137"/>
      <c r="BD151" s="137"/>
      <c r="BE151" s="137"/>
      <c r="BF151" s="137"/>
      <c r="BG151" s="137"/>
      <c r="BH151" s="137"/>
    </row>
    <row r="152" spans="1:60" ht="22.5" outlineLevel="1" x14ac:dyDescent="0.2">
      <c r="A152" s="138">
        <v>36</v>
      </c>
      <c r="B152" s="167">
        <v>985711201</v>
      </c>
      <c r="C152" s="191" t="s">
        <v>103</v>
      </c>
      <c r="D152" s="206" t="s">
        <v>104</v>
      </c>
      <c r="E152" s="196">
        <f>E154</f>
        <v>8</v>
      </c>
      <c r="F152" s="148"/>
      <c r="G152" s="149">
        <f>ROUND(E152*F152,2)</f>
        <v>0</v>
      </c>
      <c r="H152" s="165"/>
      <c r="I152" s="149"/>
      <c r="J152" s="165"/>
      <c r="K152" s="149"/>
      <c r="L152" s="149"/>
      <c r="M152" s="149"/>
      <c r="N152" s="145">
        <v>0</v>
      </c>
      <c r="O152" s="145">
        <f>ROUND(E152*N152,2)</f>
        <v>0</v>
      </c>
      <c r="P152" s="145">
        <v>0</v>
      </c>
      <c r="Q152" s="145">
        <f>ROUND(E152*P152,2)</f>
        <v>0</v>
      </c>
      <c r="R152" s="149"/>
      <c r="S152" s="149"/>
      <c r="T152" s="150"/>
      <c r="U152" s="149"/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/>
      <c r="AF152" s="137"/>
      <c r="AG152" s="137"/>
      <c r="AH152" s="137"/>
      <c r="AI152" s="137"/>
      <c r="AJ152" s="137"/>
      <c r="AK152" s="137"/>
      <c r="AL152" s="137"/>
      <c r="AM152" s="137"/>
      <c r="AN152" s="137"/>
      <c r="AO152" s="137"/>
      <c r="AP152" s="137"/>
      <c r="AQ152" s="137"/>
      <c r="AR152" s="137"/>
      <c r="AS152" s="137"/>
      <c r="AT152" s="137"/>
      <c r="AU152" s="137"/>
      <c r="AV152" s="137"/>
      <c r="AW152" s="137"/>
      <c r="AX152" s="137"/>
      <c r="AY152" s="137"/>
      <c r="AZ152" s="137"/>
      <c r="BA152" s="140"/>
      <c r="BB152" s="137"/>
      <c r="BC152" s="137"/>
      <c r="BD152" s="137"/>
      <c r="BE152" s="137"/>
      <c r="BF152" s="137"/>
      <c r="BG152" s="137"/>
      <c r="BH152" s="137"/>
    </row>
    <row r="153" spans="1:60" outlineLevel="1" x14ac:dyDescent="0.2">
      <c r="A153" s="138"/>
      <c r="B153" s="138"/>
      <c r="C153" s="229" t="s">
        <v>165</v>
      </c>
      <c r="D153" s="195"/>
      <c r="E153" s="196"/>
      <c r="F153" s="207"/>
      <c r="G153" s="149"/>
      <c r="H153" s="165"/>
      <c r="I153" s="149"/>
      <c r="J153" s="165"/>
      <c r="K153" s="149"/>
      <c r="L153" s="149"/>
      <c r="M153" s="149"/>
      <c r="N153" s="149"/>
      <c r="O153" s="149"/>
      <c r="P153" s="149"/>
      <c r="Q153" s="149"/>
      <c r="R153" s="149"/>
      <c r="S153" s="149"/>
      <c r="T153" s="150"/>
      <c r="U153" s="149"/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137"/>
      <c r="AF153" s="137"/>
      <c r="AG153" s="137"/>
      <c r="AH153" s="137"/>
      <c r="AI153" s="137"/>
      <c r="AJ153" s="137"/>
      <c r="AK153" s="137"/>
      <c r="AL153" s="137"/>
      <c r="AM153" s="137"/>
      <c r="AN153" s="137"/>
      <c r="AO153" s="137"/>
      <c r="AP153" s="137"/>
      <c r="AQ153" s="137"/>
      <c r="AR153" s="137"/>
      <c r="AS153" s="137"/>
      <c r="AT153" s="137"/>
      <c r="AU153" s="137"/>
      <c r="AV153" s="137"/>
      <c r="AW153" s="137"/>
      <c r="AX153" s="137"/>
      <c r="AY153" s="137"/>
      <c r="AZ153" s="137"/>
      <c r="BA153" s="140"/>
      <c r="BB153" s="137"/>
      <c r="BC153" s="137"/>
      <c r="BD153" s="137"/>
      <c r="BE153" s="137"/>
      <c r="BF153" s="137"/>
      <c r="BG153" s="137"/>
      <c r="BH153" s="137"/>
    </row>
    <row r="154" spans="1:60" outlineLevel="1" x14ac:dyDescent="0.2">
      <c r="A154" s="166"/>
      <c r="B154" s="166"/>
      <c r="C154" s="200">
        <v>8</v>
      </c>
      <c r="D154" s="188"/>
      <c r="E154" s="171">
        <v>8</v>
      </c>
      <c r="F154" s="198"/>
      <c r="G154" s="154"/>
      <c r="H154" s="193"/>
      <c r="I154" s="154"/>
      <c r="J154" s="193"/>
      <c r="K154" s="154"/>
      <c r="L154" s="154"/>
      <c r="M154" s="154"/>
      <c r="N154" s="154"/>
      <c r="O154" s="154"/>
      <c r="P154" s="154"/>
      <c r="Q154" s="154"/>
      <c r="R154" s="149"/>
      <c r="S154" s="149"/>
      <c r="T154" s="150"/>
      <c r="U154" s="149"/>
      <c r="V154" s="137"/>
      <c r="W154" s="137"/>
      <c r="X154" s="137"/>
      <c r="Y154" s="137"/>
      <c r="Z154" s="137"/>
      <c r="AA154" s="137"/>
      <c r="AB154" s="137"/>
      <c r="AC154" s="137"/>
      <c r="AD154" s="137"/>
      <c r="AE154" s="137"/>
      <c r="AF154" s="137"/>
      <c r="AG154" s="137"/>
      <c r="AH154" s="137"/>
      <c r="AI154" s="137"/>
      <c r="AJ154" s="137"/>
      <c r="AK154" s="137"/>
      <c r="AL154" s="137"/>
      <c r="AM154" s="137"/>
      <c r="AN154" s="137"/>
      <c r="AO154" s="137"/>
      <c r="AP154" s="137"/>
      <c r="AQ154" s="137"/>
      <c r="AR154" s="137"/>
      <c r="AS154" s="137"/>
      <c r="AT154" s="137"/>
      <c r="AU154" s="137"/>
      <c r="AV154" s="137"/>
      <c r="AW154" s="137"/>
      <c r="AX154" s="137"/>
      <c r="AY154" s="137"/>
      <c r="AZ154" s="137"/>
      <c r="BA154" s="140"/>
      <c r="BB154" s="137"/>
      <c r="BC154" s="137"/>
      <c r="BD154" s="137"/>
      <c r="BE154" s="137"/>
      <c r="BF154" s="137"/>
      <c r="BG154" s="137"/>
      <c r="BH154" s="137"/>
    </row>
    <row r="155" spans="1:60" ht="22.5" customHeight="1" outlineLevel="1" x14ac:dyDescent="0.2">
      <c r="A155" s="166">
        <v>37</v>
      </c>
      <c r="B155" s="214">
        <v>998762203</v>
      </c>
      <c r="C155" s="241" t="s">
        <v>109</v>
      </c>
      <c r="D155" s="184" t="s">
        <v>0</v>
      </c>
      <c r="E155" s="242">
        <v>5.79</v>
      </c>
      <c r="F155" s="235"/>
      <c r="G155" s="218">
        <f>ROUND(E155*F155,2)</f>
        <v>0</v>
      </c>
      <c r="H155" s="154"/>
      <c r="I155" s="154"/>
      <c r="J155" s="154"/>
      <c r="K155" s="154"/>
      <c r="L155" s="154"/>
      <c r="M155" s="154"/>
      <c r="N155" s="217">
        <v>0</v>
      </c>
      <c r="O155" s="217">
        <f>ROUND(E155*N155,2)</f>
        <v>0</v>
      </c>
      <c r="P155" s="217">
        <v>0</v>
      </c>
      <c r="Q155" s="217">
        <f>ROUND(E155*P155,2)</f>
        <v>0</v>
      </c>
      <c r="R155" s="149"/>
      <c r="S155" s="149"/>
      <c r="T155" s="150"/>
      <c r="U155" s="149"/>
      <c r="V155" s="137"/>
      <c r="W155" s="137"/>
      <c r="X155" s="137"/>
      <c r="Y155" s="137"/>
      <c r="Z155" s="137"/>
      <c r="AA155" s="137"/>
      <c r="AB155" s="137"/>
      <c r="AC155" s="137"/>
      <c r="AD155" s="137"/>
      <c r="AE155" s="137"/>
      <c r="AF155" s="137"/>
      <c r="AG155" s="137"/>
      <c r="AH155" s="137"/>
      <c r="AI155" s="137"/>
      <c r="AJ155" s="137"/>
      <c r="AK155" s="137"/>
      <c r="AL155" s="137"/>
      <c r="AM155" s="137"/>
      <c r="AN155" s="137"/>
      <c r="AO155" s="137"/>
      <c r="AP155" s="137"/>
      <c r="AQ155" s="137"/>
      <c r="AR155" s="137"/>
      <c r="AS155" s="137"/>
      <c r="AT155" s="137"/>
      <c r="AU155" s="137"/>
      <c r="AV155" s="137"/>
      <c r="AW155" s="137"/>
      <c r="AX155" s="137"/>
      <c r="AY155" s="137"/>
      <c r="AZ155" s="137"/>
      <c r="BA155" s="140"/>
      <c r="BB155" s="137"/>
      <c r="BC155" s="137"/>
      <c r="BD155" s="137"/>
      <c r="BE155" s="137"/>
      <c r="BF155" s="137"/>
      <c r="BG155" s="137"/>
      <c r="BH155" s="137"/>
    </row>
    <row r="156" spans="1:60" x14ac:dyDescent="0.2">
      <c r="A156" s="139" t="s">
        <v>78</v>
      </c>
      <c r="B156" s="192">
        <v>783</v>
      </c>
      <c r="C156" s="161" t="s">
        <v>101</v>
      </c>
      <c r="D156" s="144"/>
      <c r="E156" s="147"/>
      <c r="F156" s="151"/>
      <c r="G156" s="151">
        <f>SUMIF(AE157:AE175,"&lt;&gt;NOR",G157:G175)</f>
        <v>0</v>
      </c>
      <c r="H156" s="151"/>
      <c r="I156" s="151">
        <f>SUM(I157:I175)</f>
        <v>0</v>
      </c>
      <c r="J156" s="151"/>
      <c r="K156" s="151">
        <f>SUM(K157:K175)</f>
        <v>0</v>
      </c>
      <c r="L156" s="151"/>
      <c r="M156" s="151">
        <f>SUM(M157:M175)</f>
        <v>0</v>
      </c>
      <c r="N156" s="151"/>
      <c r="O156" s="147">
        <f>SUM(O157:O175)</f>
        <v>0.04</v>
      </c>
      <c r="P156" s="151"/>
      <c r="Q156" s="147">
        <f>SUM(Q157:Q175)</f>
        <v>0</v>
      </c>
      <c r="R156" s="151"/>
      <c r="S156" s="151"/>
      <c r="T156" s="152"/>
      <c r="U156" s="151">
        <f>SUM(U157:U175)</f>
        <v>0</v>
      </c>
      <c r="AE156" t="s">
        <v>79</v>
      </c>
    </row>
    <row r="157" spans="1:60" ht="22.5" outlineLevel="1" x14ac:dyDescent="0.2">
      <c r="A157" s="138">
        <v>38</v>
      </c>
      <c r="B157" s="167">
        <v>783213111</v>
      </c>
      <c r="C157" s="210" t="s">
        <v>102</v>
      </c>
      <c r="D157" s="142" t="s">
        <v>80</v>
      </c>
      <c r="E157" s="196">
        <f>E175</f>
        <v>283.85199999999998</v>
      </c>
      <c r="F157" s="148"/>
      <c r="G157" s="149">
        <f>ROUND(E157*F157,2)</f>
        <v>0</v>
      </c>
      <c r="H157" s="148"/>
      <c r="I157" s="149"/>
      <c r="J157" s="148"/>
      <c r="K157" s="149"/>
      <c r="L157" s="149"/>
      <c r="M157" s="149"/>
      <c r="N157" s="145">
        <v>1.3999999999999999E-4</v>
      </c>
      <c r="O157" s="145">
        <f>ROUND(E157*N157,2)</f>
        <v>0.04</v>
      </c>
      <c r="P157" s="145">
        <v>0</v>
      </c>
      <c r="Q157" s="145">
        <f>ROUND(E157*P157,2)</f>
        <v>0</v>
      </c>
      <c r="R157" s="149"/>
      <c r="S157" s="149"/>
      <c r="T157" s="150"/>
      <c r="U157" s="149"/>
      <c r="V157" s="137"/>
      <c r="W157" s="137"/>
      <c r="X157" s="137"/>
      <c r="Y157" s="137"/>
      <c r="Z157" s="137"/>
      <c r="AA157" s="137"/>
      <c r="AB157" s="137"/>
      <c r="AC157" s="137"/>
      <c r="AD157" s="137"/>
      <c r="AE157" s="137"/>
      <c r="AF157" s="137"/>
      <c r="AG157" s="137"/>
      <c r="AH157" s="137"/>
      <c r="AI157" s="137"/>
      <c r="AJ157" s="137"/>
      <c r="AK157" s="137"/>
      <c r="AL157" s="137"/>
      <c r="AM157" s="137"/>
      <c r="AN157" s="137"/>
      <c r="AO157" s="137"/>
      <c r="AP157" s="137"/>
      <c r="AQ157" s="137"/>
      <c r="AR157" s="137"/>
      <c r="AS157" s="137"/>
      <c r="AT157" s="137"/>
      <c r="AU157" s="137"/>
      <c r="AV157" s="137"/>
      <c r="AW157" s="137"/>
      <c r="AX157" s="137"/>
      <c r="AY157" s="137"/>
      <c r="AZ157" s="137"/>
      <c r="BA157" s="137"/>
      <c r="BB157" s="137"/>
      <c r="BC157" s="137"/>
      <c r="BD157" s="137"/>
      <c r="BE157" s="137"/>
      <c r="BF157" s="137"/>
      <c r="BG157" s="137"/>
      <c r="BH157" s="137"/>
    </row>
    <row r="158" spans="1:60" outlineLevel="1" x14ac:dyDescent="0.2">
      <c r="A158" s="138"/>
      <c r="B158" s="167"/>
      <c r="C158" s="228" t="s">
        <v>171</v>
      </c>
      <c r="D158" s="142"/>
      <c r="E158" s="196"/>
      <c r="F158" s="165"/>
      <c r="G158" s="149"/>
      <c r="H158" s="148"/>
      <c r="I158" s="149"/>
      <c r="J158" s="148"/>
      <c r="K158" s="149"/>
      <c r="L158" s="149"/>
      <c r="M158" s="149"/>
      <c r="N158" s="149"/>
      <c r="O158" s="149"/>
      <c r="P158" s="149"/>
      <c r="Q158" s="149"/>
      <c r="R158" s="149"/>
      <c r="S158" s="149"/>
      <c r="T158" s="150"/>
      <c r="U158" s="149"/>
      <c r="V158" s="137"/>
      <c r="W158" s="137"/>
      <c r="X158" s="137"/>
      <c r="Y158" s="137"/>
      <c r="Z158" s="137"/>
      <c r="AA158" s="137"/>
      <c r="AB158" s="137"/>
      <c r="AC158" s="137"/>
      <c r="AD158" s="137"/>
      <c r="AE158" s="137"/>
      <c r="AF158" s="137"/>
      <c r="AG158" s="137"/>
      <c r="AH158" s="137"/>
      <c r="AI158" s="137"/>
      <c r="AJ158" s="137"/>
      <c r="AK158" s="137"/>
      <c r="AL158" s="137"/>
      <c r="AM158" s="137"/>
      <c r="AN158" s="137"/>
      <c r="AO158" s="137"/>
      <c r="AP158" s="137"/>
      <c r="AQ158" s="137"/>
      <c r="AR158" s="137"/>
      <c r="AS158" s="137"/>
      <c r="AT158" s="137"/>
      <c r="AU158" s="137"/>
      <c r="AV158" s="137"/>
      <c r="AW158" s="137"/>
      <c r="AX158" s="137"/>
      <c r="AY158" s="137"/>
      <c r="AZ158" s="137"/>
      <c r="BA158" s="137"/>
      <c r="BB158" s="137"/>
      <c r="BC158" s="137"/>
      <c r="BD158" s="137"/>
      <c r="BE158" s="137"/>
      <c r="BF158" s="137"/>
      <c r="BG158" s="137"/>
      <c r="BH158" s="137"/>
    </row>
    <row r="159" spans="1:60" outlineLevel="1" x14ac:dyDescent="0.2">
      <c r="A159" s="138"/>
      <c r="B159" s="167"/>
      <c r="C159" s="209" t="s">
        <v>166</v>
      </c>
      <c r="D159" s="142"/>
      <c r="E159" s="146">
        <f>(0.21+0.16)*2*12</f>
        <v>8.879999999999999</v>
      </c>
      <c r="F159" s="165"/>
      <c r="G159" s="149"/>
      <c r="H159" s="148"/>
      <c r="I159" s="149"/>
      <c r="J159" s="148"/>
      <c r="K159" s="149"/>
      <c r="L159" s="149"/>
      <c r="M159" s="149"/>
      <c r="N159" s="149"/>
      <c r="O159" s="149"/>
      <c r="P159" s="149"/>
      <c r="Q159" s="149"/>
      <c r="R159" s="149"/>
      <c r="S159" s="149"/>
      <c r="T159" s="150"/>
      <c r="U159" s="149"/>
      <c r="V159" s="137"/>
      <c r="W159" s="137"/>
      <c r="X159" s="137"/>
      <c r="Y159" s="137"/>
      <c r="Z159" s="137"/>
      <c r="AA159" s="137"/>
      <c r="AB159" s="137"/>
      <c r="AC159" s="137"/>
      <c r="AD159" s="137"/>
      <c r="AE159" s="137"/>
      <c r="AF159" s="137"/>
      <c r="AG159" s="137"/>
      <c r="AH159" s="137"/>
      <c r="AI159" s="137"/>
      <c r="AJ159" s="137"/>
      <c r="AK159" s="137"/>
      <c r="AL159" s="137"/>
      <c r="AM159" s="137"/>
      <c r="AN159" s="137"/>
      <c r="AO159" s="137"/>
      <c r="AP159" s="137"/>
      <c r="AQ159" s="137"/>
      <c r="AR159" s="137"/>
      <c r="AS159" s="137"/>
      <c r="AT159" s="137"/>
      <c r="AU159" s="137"/>
      <c r="AV159" s="137"/>
      <c r="AW159" s="137"/>
      <c r="AX159" s="137"/>
      <c r="AY159" s="137"/>
      <c r="AZ159" s="137"/>
      <c r="BA159" s="137"/>
      <c r="BB159" s="137"/>
      <c r="BC159" s="137"/>
      <c r="BD159" s="137"/>
      <c r="BE159" s="137"/>
      <c r="BF159" s="137"/>
      <c r="BG159" s="137"/>
      <c r="BH159" s="137"/>
    </row>
    <row r="160" spans="1:60" outlineLevel="1" x14ac:dyDescent="0.2">
      <c r="A160" s="138"/>
      <c r="B160" s="167"/>
      <c r="C160" s="228" t="s">
        <v>172</v>
      </c>
      <c r="D160" s="142"/>
      <c r="E160" s="146"/>
      <c r="F160" s="165"/>
      <c r="G160" s="149"/>
      <c r="H160" s="148"/>
      <c r="I160" s="149"/>
      <c r="J160" s="148"/>
      <c r="K160" s="149"/>
      <c r="L160" s="149"/>
      <c r="M160" s="149"/>
      <c r="N160" s="149"/>
      <c r="O160" s="149"/>
      <c r="P160" s="149"/>
      <c r="Q160" s="149"/>
      <c r="R160" s="149"/>
      <c r="S160" s="149"/>
      <c r="T160" s="150"/>
      <c r="U160" s="149"/>
      <c r="V160" s="137"/>
      <c r="W160" s="137"/>
      <c r="X160" s="137"/>
      <c r="Y160" s="137"/>
      <c r="Z160" s="137"/>
      <c r="AA160" s="137"/>
      <c r="AB160" s="137"/>
      <c r="AC160" s="137"/>
      <c r="AD160" s="137"/>
      <c r="AE160" s="137"/>
      <c r="AF160" s="137"/>
      <c r="AG160" s="137"/>
      <c r="AH160" s="137"/>
      <c r="AI160" s="137"/>
      <c r="AJ160" s="137"/>
      <c r="AK160" s="137"/>
      <c r="AL160" s="137"/>
      <c r="AM160" s="137"/>
      <c r="AN160" s="137"/>
      <c r="AO160" s="137"/>
      <c r="AP160" s="137"/>
      <c r="AQ160" s="137"/>
      <c r="AR160" s="137"/>
      <c r="AS160" s="137"/>
      <c r="AT160" s="137"/>
      <c r="AU160" s="137"/>
      <c r="AV160" s="137"/>
      <c r="AW160" s="137"/>
      <c r="AX160" s="137"/>
      <c r="AY160" s="137"/>
      <c r="AZ160" s="137"/>
      <c r="BA160" s="137"/>
      <c r="BB160" s="137"/>
      <c r="BC160" s="137"/>
      <c r="BD160" s="137"/>
      <c r="BE160" s="137"/>
      <c r="BF160" s="137"/>
      <c r="BG160" s="137"/>
      <c r="BH160" s="137"/>
    </row>
    <row r="161" spans="1:60" ht="13.5" customHeight="1" outlineLevel="1" x14ac:dyDescent="0.2">
      <c r="A161" s="138"/>
      <c r="B161" s="167"/>
      <c r="C161" s="213" t="s">
        <v>167</v>
      </c>
      <c r="D161" s="142"/>
      <c r="E161" s="146">
        <f>(0.23+0.17)*2*10</f>
        <v>8</v>
      </c>
      <c r="F161" s="165"/>
      <c r="G161" s="149"/>
      <c r="H161" s="148"/>
      <c r="I161" s="149"/>
      <c r="J161" s="148"/>
      <c r="K161" s="149"/>
      <c r="L161" s="149"/>
      <c r="M161" s="149"/>
      <c r="N161" s="149"/>
      <c r="O161" s="149"/>
      <c r="P161" s="149"/>
      <c r="Q161" s="149"/>
      <c r="R161" s="149"/>
      <c r="S161" s="149"/>
      <c r="T161" s="150"/>
      <c r="U161" s="149"/>
      <c r="V161" s="137"/>
      <c r="W161" s="137"/>
      <c r="X161" s="137"/>
      <c r="Y161" s="137"/>
      <c r="Z161" s="137"/>
      <c r="AA161" s="137"/>
      <c r="AB161" s="137"/>
      <c r="AC161" s="137"/>
      <c r="AD161" s="137"/>
      <c r="AE161" s="137"/>
      <c r="AF161" s="137"/>
      <c r="AG161" s="137"/>
      <c r="AH161" s="137"/>
      <c r="AI161" s="137"/>
      <c r="AJ161" s="137"/>
      <c r="AK161" s="137"/>
      <c r="AL161" s="137"/>
      <c r="AM161" s="137"/>
      <c r="AN161" s="137"/>
      <c r="AO161" s="137"/>
      <c r="AP161" s="137"/>
      <c r="AQ161" s="137"/>
      <c r="AR161" s="137"/>
      <c r="AS161" s="137"/>
      <c r="AT161" s="137"/>
      <c r="AU161" s="137"/>
      <c r="AV161" s="137"/>
      <c r="AW161" s="137"/>
      <c r="AX161" s="137"/>
      <c r="AY161" s="137"/>
      <c r="AZ161" s="137"/>
      <c r="BA161" s="137"/>
      <c r="BB161" s="137"/>
      <c r="BC161" s="137"/>
      <c r="BD161" s="137"/>
      <c r="BE161" s="137"/>
      <c r="BF161" s="137"/>
      <c r="BG161" s="137"/>
      <c r="BH161" s="137"/>
    </row>
    <row r="162" spans="1:60" outlineLevel="1" x14ac:dyDescent="0.2">
      <c r="A162" s="138"/>
      <c r="B162" s="167"/>
      <c r="C162" s="231" t="s">
        <v>173</v>
      </c>
      <c r="D162" s="142"/>
      <c r="E162" s="146"/>
      <c r="F162" s="165"/>
      <c r="G162" s="149"/>
      <c r="H162" s="148"/>
      <c r="I162" s="149"/>
      <c r="J162" s="148"/>
      <c r="K162" s="149"/>
      <c r="L162" s="149"/>
      <c r="M162" s="149"/>
      <c r="N162" s="149"/>
      <c r="O162" s="149"/>
      <c r="P162" s="149"/>
      <c r="Q162" s="149"/>
      <c r="R162" s="149"/>
      <c r="S162" s="149"/>
      <c r="T162" s="150"/>
      <c r="U162" s="149"/>
      <c r="V162" s="137"/>
      <c r="W162" s="137"/>
      <c r="X162" s="137"/>
      <c r="Y162" s="137"/>
      <c r="Z162" s="137"/>
      <c r="AA162" s="137"/>
      <c r="AB162" s="137"/>
      <c r="AC162" s="137"/>
      <c r="AD162" s="137"/>
      <c r="AE162" s="137"/>
      <c r="AF162" s="137"/>
      <c r="AG162" s="137"/>
      <c r="AH162" s="137"/>
      <c r="AI162" s="137"/>
      <c r="AJ162" s="137"/>
      <c r="AK162" s="137"/>
      <c r="AL162" s="137"/>
      <c r="AM162" s="137"/>
      <c r="AN162" s="137"/>
      <c r="AO162" s="137"/>
      <c r="AP162" s="137"/>
      <c r="AQ162" s="137"/>
      <c r="AR162" s="137"/>
      <c r="AS162" s="137"/>
      <c r="AT162" s="137"/>
      <c r="AU162" s="137"/>
      <c r="AV162" s="137"/>
      <c r="AW162" s="137"/>
      <c r="AX162" s="137"/>
      <c r="AY162" s="137"/>
      <c r="AZ162" s="137"/>
      <c r="BA162" s="137"/>
      <c r="BB162" s="137"/>
      <c r="BC162" s="137"/>
      <c r="BD162" s="137"/>
      <c r="BE162" s="137"/>
      <c r="BF162" s="137"/>
      <c r="BG162" s="137"/>
      <c r="BH162" s="137"/>
    </row>
    <row r="163" spans="1:60" outlineLevel="1" x14ac:dyDescent="0.2">
      <c r="A163" s="138"/>
      <c r="B163" s="167"/>
      <c r="C163" s="209" t="s">
        <v>168</v>
      </c>
      <c r="D163" s="142"/>
      <c r="E163" s="146">
        <f>(0.23+0.26)*2*13</f>
        <v>12.74</v>
      </c>
      <c r="F163" s="165"/>
      <c r="G163" s="149"/>
      <c r="H163" s="148"/>
      <c r="I163" s="149"/>
      <c r="J163" s="148"/>
      <c r="K163" s="149"/>
      <c r="L163" s="149"/>
      <c r="M163" s="149"/>
      <c r="N163" s="149"/>
      <c r="O163" s="149"/>
      <c r="P163" s="149"/>
      <c r="Q163" s="149"/>
      <c r="R163" s="149"/>
      <c r="S163" s="149"/>
      <c r="T163" s="150"/>
      <c r="U163" s="149"/>
      <c r="V163" s="137"/>
      <c r="W163" s="137"/>
      <c r="X163" s="137"/>
      <c r="Y163" s="137"/>
      <c r="Z163" s="137"/>
      <c r="AA163" s="137"/>
      <c r="AB163" s="137"/>
      <c r="AC163" s="137"/>
      <c r="AD163" s="137"/>
      <c r="AE163" s="137"/>
      <c r="AF163" s="137"/>
      <c r="AG163" s="137"/>
      <c r="AH163" s="137"/>
      <c r="AI163" s="137"/>
      <c r="AJ163" s="137"/>
      <c r="AK163" s="137"/>
      <c r="AL163" s="137"/>
      <c r="AM163" s="137"/>
      <c r="AN163" s="137"/>
      <c r="AO163" s="137"/>
      <c r="AP163" s="137"/>
      <c r="AQ163" s="137"/>
      <c r="AR163" s="137"/>
      <c r="AS163" s="137"/>
      <c r="AT163" s="137"/>
      <c r="AU163" s="137"/>
      <c r="AV163" s="137"/>
      <c r="AW163" s="137"/>
      <c r="AX163" s="137"/>
      <c r="AY163" s="137"/>
      <c r="AZ163" s="137"/>
      <c r="BA163" s="137"/>
      <c r="BB163" s="137"/>
      <c r="BC163" s="137"/>
      <c r="BD163" s="137"/>
      <c r="BE163" s="137"/>
      <c r="BF163" s="137"/>
      <c r="BG163" s="137"/>
      <c r="BH163" s="137"/>
    </row>
    <row r="164" spans="1:60" outlineLevel="1" x14ac:dyDescent="0.2">
      <c r="A164" s="138"/>
      <c r="B164" s="167"/>
      <c r="C164" s="229" t="s">
        <v>174</v>
      </c>
      <c r="D164" s="142"/>
      <c r="E164" s="146"/>
      <c r="F164" s="165"/>
      <c r="G164" s="149"/>
      <c r="H164" s="148"/>
      <c r="I164" s="149"/>
      <c r="J164" s="148"/>
      <c r="K164" s="149"/>
      <c r="L164" s="149"/>
      <c r="M164" s="149"/>
      <c r="N164" s="149"/>
      <c r="O164" s="149"/>
      <c r="P164" s="149"/>
      <c r="Q164" s="149"/>
      <c r="R164" s="149"/>
      <c r="S164" s="149"/>
      <c r="T164" s="150"/>
      <c r="U164" s="149"/>
      <c r="V164" s="137"/>
      <c r="W164" s="137"/>
      <c r="X164" s="137"/>
      <c r="Y164" s="137"/>
      <c r="Z164" s="137"/>
      <c r="AA164" s="137"/>
      <c r="AB164" s="137"/>
      <c r="AC164" s="137"/>
      <c r="AD164" s="137"/>
      <c r="AE164" s="137"/>
      <c r="AF164" s="137"/>
      <c r="AG164" s="137"/>
      <c r="AH164" s="137"/>
      <c r="AI164" s="137"/>
      <c r="AJ164" s="137"/>
      <c r="AK164" s="137"/>
      <c r="AL164" s="137"/>
      <c r="AM164" s="137"/>
      <c r="AN164" s="137"/>
      <c r="AO164" s="137"/>
      <c r="AP164" s="137"/>
      <c r="AQ164" s="137"/>
      <c r="AR164" s="137"/>
      <c r="AS164" s="137"/>
      <c r="AT164" s="137"/>
      <c r="AU164" s="137"/>
      <c r="AV164" s="137"/>
      <c r="AW164" s="137"/>
      <c r="AX164" s="137"/>
      <c r="AY164" s="137"/>
      <c r="AZ164" s="137"/>
      <c r="BA164" s="137"/>
      <c r="BB164" s="137"/>
      <c r="BC164" s="137"/>
      <c r="BD164" s="137"/>
      <c r="BE164" s="137"/>
      <c r="BF164" s="137"/>
      <c r="BG164" s="137"/>
      <c r="BH164" s="137"/>
    </row>
    <row r="165" spans="1:60" outlineLevel="1" x14ac:dyDescent="0.2">
      <c r="A165" s="138"/>
      <c r="B165" s="167"/>
      <c r="C165" s="209" t="s">
        <v>169</v>
      </c>
      <c r="D165" s="142"/>
      <c r="E165" s="146">
        <f>(0.12+0.18)*2*93.2</f>
        <v>55.92</v>
      </c>
      <c r="F165" s="165"/>
      <c r="G165" s="149"/>
      <c r="H165" s="148"/>
      <c r="I165" s="149"/>
      <c r="J165" s="148"/>
      <c r="K165" s="149"/>
      <c r="L165" s="149"/>
      <c r="M165" s="149"/>
      <c r="N165" s="149"/>
      <c r="O165" s="149"/>
      <c r="P165" s="149"/>
      <c r="Q165" s="149"/>
      <c r="R165" s="149"/>
      <c r="S165" s="149"/>
      <c r="T165" s="150"/>
      <c r="U165" s="149"/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137"/>
      <c r="AF165" s="137"/>
      <c r="AG165" s="137"/>
      <c r="AH165" s="137"/>
      <c r="AI165" s="137"/>
      <c r="AJ165" s="137"/>
      <c r="AK165" s="137"/>
      <c r="AL165" s="137"/>
      <c r="AM165" s="137"/>
      <c r="AN165" s="137"/>
      <c r="AO165" s="137"/>
      <c r="AP165" s="137"/>
      <c r="AQ165" s="137"/>
      <c r="AR165" s="137"/>
      <c r="AS165" s="137"/>
      <c r="AT165" s="137"/>
      <c r="AU165" s="137"/>
      <c r="AV165" s="137"/>
      <c r="AW165" s="137"/>
      <c r="AX165" s="137"/>
      <c r="AY165" s="137"/>
      <c r="AZ165" s="137"/>
      <c r="BA165" s="137"/>
      <c r="BB165" s="137"/>
      <c r="BC165" s="137"/>
      <c r="BD165" s="137"/>
      <c r="BE165" s="137"/>
      <c r="BF165" s="137"/>
      <c r="BG165" s="137"/>
      <c r="BH165" s="137"/>
    </row>
    <row r="166" spans="1:60" outlineLevel="1" x14ac:dyDescent="0.2">
      <c r="A166" s="138"/>
      <c r="B166" s="167"/>
      <c r="C166" s="229" t="s">
        <v>206</v>
      </c>
      <c r="D166" s="142"/>
      <c r="E166" s="146"/>
      <c r="F166" s="165"/>
      <c r="G166" s="149"/>
      <c r="H166" s="148"/>
      <c r="I166" s="149"/>
      <c r="J166" s="148"/>
      <c r="K166" s="149"/>
      <c r="L166" s="149"/>
      <c r="M166" s="149"/>
      <c r="N166" s="149"/>
      <c r="O166" s="149"/>
      <c r="P166" s="149"/>
      <c r="Q166" s="149"/>
      <c r="R166" s="149"/>
      <c r="S166" s="149"/>
      <c r="T166" s="150"/>
      <c r="U166" s="149"/>
      <c r="V166" s="137"/>
      <c r="W166" s="137"/>
      <c r="X166" s="137"/>
      <c r="Y166" s="137"/>
      <c r="Z166" s="137"/>
      <c r="AA166" s="137"/>
      <c r="AB166" s="137"/>
      <c r="AC166" s="137"/>
      <c r="AD166" s="137"/>
      <c r="AE166" s="137"/>
      <c r="AF166" s="137"/>
      <c r="AG166" s="137"/>
      <c r="AH166" s="137"/>
      <c r="AI166" s="137"/>
      <c r="AJ166" s="137"/>
      <c r="AK166" s="137"/>
      <c r="AL166" s="137"/>
      <c r="AM166" s="137"/>
      <c r="AN166" s="137"/>
      <c r="AO166" s="137"/>
      <c r="AP166" s="137"/>
      <c r="AQ166" s="137"/>
      <c r="AR166" s="137"/>
      <c r="AS166" s="137"/>
      <c r="AT166" s="137"/>
      <c r="AU166" s="137"/>
      <c r="AV166" s="137"/>
      <c r="AW166" s="137"/>
      <c r="AX166" s="137"/>
      <c r="AY166" s="137"/>
      <c r="AZ166" s="137"/>
      <c r="BA166" s="137"/>
      <c r="BB166" s="137"/>
      <c r="BC166" s="137"/>
      <c r="BD166" s="137"/>
      <c r="BE166" s="137"/>
      <c r="BF166" s="137"/>
      <c r="BG166" s="137"/>
      <c r="BH166" s="137"/>
    </row>
    <row r="167" spans="1:60" outlineLevel="1" x14ac:dyDescent="0.2">
      <c r="A167" s="138"/>
      <c r="B167" s="167"/>
      <c r="C167" s="209" t="s">
        <v>207</v>
      </c>
      <c r="D167" s="142"/>
      <c r="E167" s="146">
        <f>(0.16+0.14)*2*50</f>
        <v>30.000000000000004</v>
      </c>
      <c r="F167" s="165"/>
      <c r="G167" s="149"/>
      <c r="H167" s="148"/>
      <c r="I167" s="149"/>
      <c r="J167" s="148"/>
      <c r="K167" s="149"/>
      <c r="L167" s="149"/>
      <c r="M167" s="149"/>
      <c r="N167" s="149"/>
      <c r="O167" s="149"/>
      <c r="P167" s="149"/>
      <c r="Q167" s="149"/>
      <c r="R167" s="149"/>
      <c r="S167" s="149"/>
      <c r="T167" s="150"/>
      <c r="U167" s="149"/>
      <c r="V167" s="137"/>
      <c r="W167" s="137"/>
      <c r="X167" s="137"/>
      <c r="Y167" s="137"/>
      <c r="Z167" s="137"/>
      <c r="AA167" s="137"/>
      <c r="AB167" s="137"/>
      <c r="AC167" s="137"/>
      <c r="AD167" s="137"/>
      <c r="AE167" s="137"/>
      <c r="AF167" s="137"/>
      <c r="AG167" s="137"/>
      <c r="AH167" s="137"/>
      <c r="AI167" s="137"/>
      <c r="AJ167" s="137"/>
      <c r="AK167" s="137"/>
      <c r="AL167" s="137"/>
      <c r="AM167" s="137"/>
      <c r="AN167" s="137"/>
      <c r="AO167" s="137"/>
      <c r="AP167" s="137"/>
      <c r="AQ167" s="137"/>
      <c r="AR167" s="137"/>
      <c r="AS167" s="137"/>
      <c r="AT167" s="137"/>
      <c r="AU167" s="137"/>
      <c r="AV167" s="137"/>
      <c r="AW167" s="137"/>
      <c r="AX167" s="137"/>
      <c r="AY167" s="137"/>
      <c r="AZ167" s="137"/>
      <c r="BA167" s="137"/>
      <c r="BB167" s="137"/>
      <c r="BC167" s="137"/>
      <c r="BD167" s="137"/>
      <c r="BE167" s="137"/>
      <c r="BF167" s="137"/>
      <c r="BG167" s="137"/>
      <c r="BH167" s="137"/>
    </row>
    <row r="168" spans="1:60" outlineLevel="1" x14ac:dyDescent="0.2">
      <c r="A168" s="138"/>
      <c r="B168" s="167"/>
      <c r="C168" s="229" t="s">
        <v>198</v>
      </c>
      <c r="D168" s="142"/>
      <c r="E168" s="146"/>
      <c r="F168" s="165"/>
      <c r="G168" s="149"/>
      <c r="H168" s="148"/>
      <c r="I168" s="149"/>
      <c r="J168" s="148"/>
      <c r="K168" s="149"/>
      <c r="L168" s="149"/>
      <c r="M168" s="149"/>
      <c r="N168" s="149"/>
      <c r="O168" s="149"/>
      <c r="P168" s="149"/>
      <c r="Q168" s="149"/>
      <c r="R168" s="149"/>
      <c r="S168" s="149"/>
      <c r="T168" s="150"/>
      <c r="U168" s="149"/>
      <c r="V168" s="137"/>
      <c r="W168" s="137"/>
      <c r="X168" s="137"/>
      <c r="Y168" s="137"/>
      <c r="Z168" s="137"/>
      <c r="AA168" s="137"/>
      <c r="AB168" s="137"/>
      <c r="AC168" s="137"/>
      <c r="AD168" s="137"/>
      <c r="AE168" s="137"/>
      <c r="AF168" s="137"/>
      <c r="AG168" s="137"/>
      <c r="AH168" s="137"/>
      <c r="AI168" s="137"/>
      <c r="AJ168" s="137"/>
      <c r="AK168" s="137"/>
      <c r="AL168" s="137"/>
      <c r="AM168" s="137"/>
      <c r="AN168" s="137"/>
      <c r="AO168" s="137"/>
      <c r="AP168" s="137"/>
      <c r="AQ168" s="137"/>
      <c r="AR168" s="137"/>
      <c r="AS168" s="137"/>
      <c r="AT168" s="137"/>
      <c r="AU168" s="137"/>
      <c r="AV168" s="137"/>
      <c r="AW168" s="137"/>
      <c r="AX168" s="137"/>
      <c r="AY168" s="137"/>
      <c r="AZ168" s="137"/>
      <c r="BA168" s="137"/>
      <c r="BB168" s="137"/>
      <c r="BC168" s="137"/>
      <c r="BD168" s="137"/>
      <c r="BE168" s="137"/>
      <c r="BF168" s="137"/>
      <c r="BG168" s="137"/>
      <c r="BH168" s="137"/>
    </row>
    <row r="169" spans="1:60" ht="12.75" customHeight="1" outlineLevel="1" x14ac:dyDescent="0.2">
      <c r="A169" s="138"/>
      <c r="B169" s="167"/>
      <c r="C169" s="209" t="s">
        <v>170</v>
      </c>
      <c r="D169" s="142"/>
      <c r="E169" s="146">
        <f>(0.12+0.18)*2*27</f>
        <v>16.2</v>
      </c>
      <c r="F169" s="165"/>
      <c r="G169" s="149"/>
      <c r="H169" s="148"/>
      <c r="I169" s="149"/>
      <c r="J169" s="148"/>
      <c r="K169" s="149"/>
      <c r="L169" s="149"/>
      <c r="M169" s="149"/>
      <c r="N169" s="149"/>
      <c r="O169" s="149"/>
      <c r="P169" s="149"/>
      <c r="Q169" s="149"/>
      <c r="R169" s="149"/>
      <c r="S169" s="149"/>
      <c r="T169" s="150"/>
      <c r="U169" s="149"/>
      <c r="V169" s="137"/>
      <c r="W169" s="137"/>
      <c r="X169" s="137"/>
      <c r="Y169" s="137"/>
      <c r="Z169" s="137"/>
      <c r="AA169" s="137"/>
      <c r="AB169" s="137"/>
      <c r="AC169" s="137"/>
      <c r="AD169" s="137"/>
      <c r="AE169" s="137"/>
      <c r="AF169" s="137"/>
      <c r="AG169" s="137"/>
      <c r="AH169" s="137"/>
      <c r="AI169" s="137"/>
      <c r="AJ169" s="137"/>
      <c r="AK169" s="137"/>
      <c r="AL169" s="137"/>
      <c r="AM169" s="137"/>
      <c r="AN169" s="137"/>
      <c r="AO169" s="137"/>
      <c r="AP169" s="137"/>
      <c r="AQ169" s="137"/>
      <c r="AR169" s="137"/>
      <c r="AS169" s="137"/>
      <c r="AT169" s="137"/>
      <c r="AU169" s="137"/>
      <c r="AV169" s="137"/>
      <c r="AW169" s="137"/>
      <c r="AX169" s="137"/>
      <c r="AY169" s="137"/>
      <c r="AZ169" s="137"/>
      <c r="BA169" s="137"/>
      <c r="BB169" s="137"/>
      <c r="BC169" s="137"/>
      <c r="BD169" s="137"/>
      <c r="BE169" s="137"/>
      <c r="BF169" s="137"/>
      <c r="BG169" s="137"/>
      <c r="BH169" s="137"/>
    </row>
    <row r="170" spans="1:60" ht="12.75" customHeight="1" outlineLevel="1" x14ac:dyDescent="0.2">
      <c r="A170" s="138"/>
      <c r="B170" s="167"/>
      <c r="C170" s="231" t="s">
        <v>199</v>
      </c>
      <c r="D170" s="142"/>
      <c r="E170" s="146"/>
      <c r="F170" s="165"/>
      <c r="G170" s="149"/>
      <c r="H170" s="148"/>
      <c r="I170" s="149"/>
      <c r="J170" s="148"/>
      <c r="K170" s="149"/>
      <c r="L170" s="149"/>
      <c r="M170" s="149"/>
      <c r="N170" s="149"/>
      <c r="O170" s="149"/>
      <c r="P170" s="149"/>
      <c r="Q170" s="149"/>
      <c r="R170" s="149"/>
      <c r="S170" s="149"/>
      <c r="T170" s="150"/>
      <c r="U170" s="149"/>
      <c r="V170" s="137"/>
      <c r="W170" s="137"/>
      <c r="X170" s="137"/>
      <c r="Y170" s="137"/>
      <c r="Z170" s="137"/>
      <c r="AA170" s="137"/>
      <c r="AB170" s="137"/>
      <c r="AC170" s="137"/>
      <c r="AD170" s="137"/>
      <c r="AE170" s="137"/>
      <c r="AF170" s="137"/>
      <c r="AG170" s="137"/>
      <c r="AH170" s="137"/>
      <c r="AI170" s="137"/>
      <c r="AJ170" s="137"/>
      <c r="AK170" s="137"/>
      <c r="AL170" s="137"/>
      <c r="AM170" s="137"/>
      <c r="AN170" s="137"/>
      <c r="AO170" s="137"/>
      <c r="AP170" s="137"/>
      <c r="AQ170" s="137"/>
      <c r="AR170" s="137"/>
      <c r="AS170" s="137"/>
      <c r="AT170" s="137"/>
      <c r="AU170" s="137"/>
      <c r="AV170" s="137"/>
      <c r="AW170" s="137"/>
      <c r="AX170" s="137"/>
      <c r="AY170" s="137"/>
      <c r="AZ170" s="137"/>
      <c r="BA170" s="137"/>
      <c r="BB170" s="137"/>
      <c r="BC170" s="137"/>
      <c r="BD170" s="137"/>
      <c r="BE170" s="137"/>
      <c r="BF170" s="137"/>
      <c r="BG170" s="137"/>
      <c r="BH170" s="137"/>
    </row>
    <row r="171" spans="1:60" ht="12.75" customHeight="1" outlineLevel="1" x14ac:dyDescent="0.2">
      <c r="A171" s="138"/>
      <c r="B171" s="167"/>
      <c r="C171" s="209" t="s">
        <v>175</v>
      </c>
      <c r="D171" s="142"/>
      <c r="E171" s="146">
        <f>(0.14+0.14)*2*12</f>
        <v>6.7200000000000006</v>
      </c>
      <c r="F171" s="165"/>
      <c r="G171" s="149"/>
      <c r="H171" s="148"/>
      <c r="I171" s="149"/>
      <c r="J171" s="148"/>
      <c r="K171" s="149"/>
      <c r="L171" s="149"/>
      <c r="M171" s="149"/>
      <c r="N171" s="149"/>
      <c r="O171" s="149"/>
      <c r="P171" s="149"/>
      <c r="Q171" s="149"/>
      <c r="R171" s="149"/>
      <c r="S171" s="149"/>
      <c r="T171" s="150"/>
      <c r="U171" s="149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137"/>
      <c r="AF171" s="137"/>
      <c r="AG171" s="137"/>
      <c r="AH171" s="137"/>
      <c r="AI171" s="137"/>
      <c r="AJ171" s="137"/>
      <c r="AK171" s="137"/>
      <c r="AL171" s="137"/>
      <c r="AM171" s="137"/>
      <c r="AN171" s="137"/>
      <c r="AO171" s="137"/>
      <c r="AP171" s="137"/>
      <c r="AQ171" s="137"/>
      <c r="AR171" s="137"/>
      <c r="AS171" s="137"/>
      <c r="AT171" s="137"/>
      <c r="AU171" s="137"/>
      <c r="AV171" s="137"/>
      <c r="AW171" s="137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  <c r="BH171" s="137"/>
    </row>
    <row r="172" spans="1:60" ht="22.5" customHeight="1" outlineLevel="1" x14ac:dyDescent="0.2">
      <c r="A172" s="138"/>
      <c r="B172" s="167"/>
      <c r="C172" s="231" t="s">
        <v>200</v>
      </c>
      <c r="D172" s="142"/>
      <c r="E172" s="146"/>
      <c r="F172" s="165"/>
      <c r="G172" s="149"/>
      <c r="H172" s="148"/>
      <c r="I172" s="149"/>
      <c r="J172" s="148"/>
      <c r="K172" s="149"/>
      <c r="L172" s="149"/>
      <c r="M172" s="149"/>
      <c r="N172" s="149"/>
      <c r="O172" s="149"/>
      <c r="P172" s="149"/>
      <c r="Q172" s="149"/>
      <c r="R172" s="149"/>
      <c r="S172" s="149"/>
      <c r="T172" s="150"/>
      <c r="U172" s="149"/>
      <c r="V172" s="137"/>
      <c r="W172" s="137"/>
      <c r="X172" s="137"/>
      <c r="Y172" s="137"/>
      <c r="Z172" s="137"/>
      <c r="AA172" s="137"/>
      <c r="AB172" s="137"/>
      <c r="AC172" s="137"/>
      <c r="AD172" s="137"/>
      <c r="AE172" s="137"/>
      <c r="AF172" s="137"/>
      <c r="AG172" s="137"/>
      <c r="AH172" s="137"/>
      <c r="AI172" s="137"/>
      <c r="AJ172" s="137"/>
      <c r="AK172" s="137"/>
      <c r="AL172" s="137"/>
      <c r="AM172" s="137"/>
      <c r="AN172" s="137"/>
      <c r="AO172" s="137"/>
      <c r="AP172" s="137"/>
      <c r="AQ172" s="137"/>
      <c r="AR172" s="137"/>
      <c r="AS172" s="137"/>
      <c r="AT172" s="137"/>
      <c r="AU172" s="137"/>
      <c r="AV172" s="137"/>
      <c r="AW172" s="137"/>
      <c r="AX172" s="137"/>
      <c r="AY172" s="137"/>
      <c r="AZ172" s="137"/>
      <c r="BA172" s="137"/>
      <c r="BB172" s="137"/>
      <c r="BC172" s="137"/>
      <c r="BD172" s="137"/>
      <c r="BE172" s="137"/>
      <c r="BF172" s="137"/>
      <c r="BG172" s="137"/>
      <c r="BH172" s="137"/>
    </row>
    <row r="173" spans="1:60" ht="22.5" outlineLevel="1" x14ac:dyDescent="0.2">
      <c r="A173" s="138"/>
      <c r="B173" s="167"/>
      <c r="C173" s="231" t="s">
        <v>190</v>
      </c>
      <c r="D173" s="142"/>
      <c r="E173" s="146"/>
      <c r="F173" s="165"/>
      <c r="G173" s="149"/>
      <c r="H173" s="148"/>
      <c r="I173" s="149"/>
      <c r="J173" s="148"/>
      <c r="K173" s="149"/>
      <c r="L173" s="149"/>
      <c r="M173" s="149"/>
      <c r="N173" s="149"/>
      <c r="O173" s="149"/>
      <c r="P173" s="149"/>
      <c r="Q173" s="149"/>
      <c r="R173" s="149"/>
      <c r="S173" s="149"/>
      <c r="T173" s="150"/>
      <c r="U173" s="149"/>
      <c r="V173" s="137"/>
      <c r="W173" s="137"/>
      <c r="X173" s="137"/>
      <c r="Y173" s="137"/>
      <c r="Z173" s="137"/>
      <c r="AA173" s="137"/>
      <c r="AB173" s="137"/>
      <c r="AC173" s="137"/>
      <c r="AD173" s="137"/>
      <c r="AE173" s="137"/>
      <c r="AF173" s="137"/>
      <c r="AG173" s="137"/>
      <c r="AH173" s="137"/>
      <c r="AI173" s="137"/>
      <c r="AJ173" s="137"/>
      <c r="AK173" s="137"/>
      <c r="AL173" s="137"/>
      <c r="AM173" s="137"/>
      <c r="AN173" s="137"/>
      <c r="AO173" s="137"/>
      <c r="AP173" s="137"/>
      <c r="AQ173" s="137"/>
      <c r="AR173" s="137"/>
      <c r="AS173" s="137"/>
      <c r="AT173" s="137"/>
      <c r="AU173" s="137"/>
      <c r="AV173" s="137"/>
      <c r="AW173" s="137"/>
      <c r="AX173" s="137"/>
      <c r="AY173" s="137"/>
      <c r="AZ173" s="137"/>
      <c r="BA173" s="137"/>
      <c r="BB173" s="137"/>
      <c r="BC173" s="137"/>
      <c r="BD173" s="137"/>
      <c r="BE173" s="137"/>
      <c r="BF173" s="137"/>
      <c r="BG173" s="137"/>
      <c r="BH173" s="137"/>
    </row>
    <row r="174" spans="1:60" outlineLevel="1" x14ac:dyDescent="0.2">
      <c r="A174" s="138"/>
      <c r="B174" s="167"/>
      <c r="C174" s="209" t="s">
        <v>201</v>
      </c>
      <c r="D174" s="142"/>
      <c r="E174" s="171">
        <f>(0.08+0.16)*2*302.9</f>
        <v>145.392</v>
      </c>
      <c r="F174" s="165"/>
      <c r="G174" s="149"/>
      <c r="H174" s="148"/>
      <c r="I174" s="149"/>
      <c r="J174" s="148"/>
      <c r="K174" s="149"/>
      <c r="L174" s="149"/>
      <c r="M174" s="149"/>
      <c r="N174" s="149"/>
      <c r="O174" s="149"/>
      <c r="P174" s="149"/>
      <c r="Q174" s="149"/>
      <c r="R174" s="149"/>
      <c r="S174" s="149"/>
      <c r="T174" s="150"/>
      <c r="U174" s="149"/>
      <c r="V174" s="137"/>
      <c r="W174" s="137"/>
      <c r="X174" s="137"/>
      <c r="Y174" s="137"/>
      <c r="Z174" s="137"/>
      <c r="AA174" s="137"/>
      <c r="AB174" s="137"/>
      <c r="AC174" s="137"/>
      <c r="AD174" s="137"/>
      <c r="AE174" s="137"/>
      <c r="AF174" s="137"/>
      <c r="AG174" s="137"/>
      <c r="AH174" s="137"/>
      <c r="AI174" s="137"/>
      <c r="AJ174" s="137"/>
      <c r="AK174" s="137"/>
      <c r="AL174" s="137"/>
      <c r="AM174" s="137"/>
      <c r="AN174" s="137"/>
      <c r="AO174" s="137"/>
      <c r="AP174" s="137"/>
      <c r="AQ174" s="137"/>
      <c r="AR174" s="137"/>
      <c r="AS174" s="137"/>
      <c r="AT174" s="137"/>
      <c r="AU174" s="137"/>
      <c r="AV174" s="137"/>
      <c r="AW174" s="137"/>
      <c r="AX174" s="137"/>
      <c r="AY174" s="137"/>
      <c r="AZ174" s="137"/>
      <c r="BA174" s="137"/>
      <c r="BB174" s="137"/>
      <c r="BC174" s="137"/>
      <c r="BD174" s="137"/>
      <c r="BE174" s="137"/>
      <c r="BF174" s="137"/>
      <c r="BG174" s="137"/>
      <c r="BH174" s="137"/>
    </row>
    <row r="175" spans="1:60" outlineLevel="1" x14ac:dyDescent="0.2">
      <c r="A175" s="166"/>
      <c r="B175" s="214"/>
      <c r="C175" s="215"/>
      <c r="D175" s="188"/>
      <c r="E175" s="197">
        <f>SUM(E159:E174)</f>
        <v>283.85199999999998</v>
      </c>
      <c r="F175" s="193"/>
      <c r="G175" s="154"/>
      <c r="H175" s="189"/>
      <c r="I175" s="154"/>
      <c r="J175" s="189"/>
      <c r="K175" s="154"/>
      <c r="L175" s="154"/>
      <c r="M175" s="154"/>
      <c r="N175" s="154"/>
      <c r="O175" s="154"/>
      <c r="P175" s="154"/>
      <c r="Q175" s="154"/>
      <c r="R175" s="149"/>
      <c r="S175" s="149"/>
      <c r="T175" s="150"/>
      <c r="U175" s="149"/>
      <c r="V175" s="137"/>
      <c r="W175" s="137"/>
      <c r="X175" s="137"/>
      <c r="Y175" s="137"/>
      <c r="Z175" s="137"/>
      <c r="AA175" s="137"/>
      <c r="AB175" s="137"/>
      <c r="AC175" s="137"/>
      <c r="AD175" s="137"/>
      <c r="AE175" s="137"/>
      <c r="AF175" s="137"/>
      <c r="AG175" s="137"/>
      <c r="AH175" s="137"/>
      <c r="AI175" s="137"/>
      <c r="AJ175" s="137"/>
      <c r="AK175" s="137"/>
      <c r="AL175" s="137"/>
      <c r="AM175" s="137"/>
      <c r="AN175" s="137"/>
      <c r="AO175" s="137"/>
      <c r="AP175" s="137"/>
      <c r="AQ175" s="137"/>
      <c r="AR175" s="137"/>
      <c r="AS175" s="137"/>
      <c r="AT175" s="137"/>
      <c r="AU175" s="137"/>
      <c r="AV175" s="137"/>
      <c r="AW175" s="137"/>
      <c r="AX175" s="137"/>
      <c r="AY175" s="137"/>
      <c r="AZ175" s="137"/>
      <c r="BA175" s="137"/>
      <c r="BB175" s="137"/>
      <c r="BC175" s="137"/>
      <c r="BD175" s="137"/>
      <c r="BE175" s="137"/>
      <c r="BF175" s="137"/>
      <c r="BG175" s="137"/>
      <c r="BH175" s="137"/>
    </row>
    <row r="176" spans="1:60" x14ac:dyDescent="0.2">
      <c r="A176" s="4"/>
      <c r="B176" s="5" t="s">
        <v>83</v>
      </c>
      <c r="C176" s="162" t="s">
        <v>83</v>
      </c>
      <c r="D176" s="7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AC176">
        <v>15</v>
      </c>
      <c r="AD176">
        <v>21</v>
      </c>
    </row>
    <row r="177" spans="1:31" x14ac:dyDescent="0.2">
      <c r="A177" s="155"/>
      <c r="B177" s="156">
        <v>26</v>
      </c>
      <c r="C177" s="163" t="s">
        <v>83</v>
      </c>
      <c r="D177" s="157"/>
      <c r="E177" s="158"/>
      <c r="F177" s="158"/>
      <c r="G177" s="159">
        <f>G8+G14+G156</f>
        <v>0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AC177">
        <f>SUMIF(L7:L175,AC176,G7:G175)</f>
        <v>0</v>
      </c>
      <c r="AD177">
        <f>SUMIF(L7:L175,AD176,G7:G175)</f>
        <v>0</v>
      </c>
      <c r="AE177" t="s">
        <v>84</v>
      </c>
    </row>
    <row r="178" spans="1:31" x14ac:dyDescent="0.2">
      <c r="A178" s="4"/>
      <c r="B178" s="5" t="s">
        <v>83</v>
      </c>
      <c r="C178" s="162" t="s">
        <v>83</v>
      </c>
      <c r="D178" s="7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spans="1:31" x14ac:dyDescent="0.2">
      <c r="A179" s="4"/>
      <c r="B179" s="5" t="s">
        <v>83</v>
      </c>
      <c r="C179" s="162" t="s">
        <v>83</v>
      </c>
      <c r="D179" s="7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spans="1:31" x14ac:dyDescent="0.2">
      <c r="D180" s="7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1:31" x14ac:dyDescent="0.2">
      <c r="C181" s="164"/>
      <c r="D181" s="11"/>
      <c r="AE181" t="s">
        <v>85</v>
      </c>
    </row>
    <row r="182" spans="1:31" x14ac:dyDescent="0.2">
      <c r="D182" s="11"/>
    </row>
    <row r="183" spans="1:31" x14ac:dyDescent="0.2">
      <c r="D183" s="11"/>
    </row>
    <row r="184" spans="1:31" x14ac:dyDescent="0.2">
      <c r="D184" s="11"/>
    </row>
    <row r="185" spans="1:31" x14ac:dyDescent="0.2">
      <c r="D185" s="11"/>
    </row>
    <row r="186" spans="1:31" x14ac:dyDescent="0.2">
      <c r="D186" s="11"/>
    </row>
    <row r="187" spans="1:31" x14ac:dyDescent="0.2">
      <c r="C187" s="164"/>
      <c r="D187" s="11"/>
      <c r="AE187" t="s">
        <v>85</v>
      </c>
    </row>
    <row r="188" spans="1:31" x14ac:dyDescent="0.2">
      <c r="D188" s="11"/>
    </row>
    <row r="189" spans="1:31" x14ac:dyDescent="0.2">
      <c r="D189" s="11"/>
    </row>
    <row r="190" spans="1:31" x14ac:dyDescent="0.2">
      <c r="D190" s="11"/>
    </row>
    <row r="191" spans="1:31" x14ac:dyDescent="0.2">
      <c r="D191" s="11"/>
    </row>
    <row r="192" spans="1:31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  <row r="5007" spans="4:4" x14ac:dyDescent="0.2">
      <c r="D5007" s="11"/>
    </row>
    <row r="5008" spans="4:4" x14ac:dyDescent="0.2">
      <c r="D5008" s="11"/>
    </row>
    <row r="5009" spans="4:4" x14ac:dyDescent="0.2">
      <c r="D5009" s="11"/>
    </row>
    <row r="5010" spans="4:4" x14ac:dyDescent="0.2">
      <c r="D5010" s="11"/>
    </row>
    <row r="5011" spans="4:4" x14ac:dyDescent="0.2">
      <c r="D5011" s="11"/>
    </row>
    <row r="5012" spans="4:4" x14ac:dyDescent="0.2">
      <c r="D5012" s="11"/>
    </row>
    <row r="5013" spans="4:4" x14ac:dyDescent="0.2">
      <c r="D5013" s="11"/>
    </row>
    <row r="5014" spans="4:4" x14ac:dyDescent="0.2">
      <c r="D5014" s="11"/>
    </row>
    <row r="5015" spans="4:4" x14ac:dyDescent="0.2">
      <c r="D5015" s="11"/>
    </row>
    <row r="5016" spans="4:4" x14ac:dyDescent="0.2">
      <c r="D5016" s="11"/>
    </row>
    <row r="5017" spans="4:4" x14ac:dyDescent="0.2">
      <c r="D5017" s="11"/>
    </row>
    <row r="5018" spans="4:4" x14ac:dyDescent="0.2">
      <c r="D5018" s="11"/>
    </row>
    <row r="5019" spans="4:4" x14ac:dyDescent="0.2">
      <c r="D5019" s="11"/>
    </row>
    <row r="5020" spans="4:4" x14ac:dyDescent="0.2">
      <c r="D5020" s="11"/>
    </row>
    <row r="5021" spans="4:4" x14ac:dyDescent="0.2">
      <c r="D5021" s="11"/>
    </row>
    <row r="5022" spans="4:4" x14ac:dyDescent="0.2">
      <c r="D5022" s="11"/>
    </row>
    <row r="5023" spans="4:4" x14ac:dyDescent="0.2">
      <c r="D5023" s="11"/>
    </row>
    <row r="5024" spans="4:4" x14ac:dyDescent="0.2">
      <c r="D5024" s="11"/>
    </row>
    <row r="5025" spans="4:4" x14ac:dyDescent="0.2">
      <c r="D5025" s="11"/>
    </row>
    <row r="5026" spans="4:4" x14ac:dyDescent="0.2">
      <c r="D5026" s="11"/>
    </row>
    <row r="5027" spans="4:4" x14ac:dyDescent="0.2">
      <c r="D5027" s="11"/>
    </row>
    <row r="5028" spans="4:4" x14ac:dyDescent="0.2">
      <c r="D5028" s="11"/>
    </row>
    <row r="5029" spans="4:4" x14ac:dyDescent="0.2">
      <c r="D5029" s="11"/>
    </row>
    <row r="5030" spans="4:4" x14ac:dyDescent="0.2">
      <c r="D5030" s="11"/>
    </row>
    <row r="5031" spans="4:4" x14ac:dyDescent="0.2">
      <c r="D5031" s="11"/>
    </row>
    <row r="5032" spans="4:4" x14ac:dyDescent="0.2">
      <c r="D5032" s="11"/>
    </row>
    <row r="5033" spans="4:4" x14ac:dyDescent="0.2">
      <c r="D5033" s="11"/>
    </row>
    <row r="5034" spans="4:4" x14ac:dyDescent="0.2">
      <c r="D5034" s="11"/>
    </row>
    <row r="5035" spans="4:4" x14ac:dyDescent="0.2">
      <c r="D5035" s="11"/>
    </row>
    <row r="5036" spans="4:4" x14ac:dyDescent="0.2">
      <c r="D5036" s="11"/>
    </row>
    <row r="5037" spans="4:4" x14ac:dyDescent="0.2">
      <c r="D5037" s="11"/>
    </row>
    <row r="5038" spans="4:4" x14ac:dyDescent="0.2">
      <c r="D5038" s="11"/>
    </row>
    <row r="5039" spans="4:4" x14ac:dyDescent="0.2">
      <c r="D5039" s="11"/>
    </row>
    <row r="5040" spans="4:4" x14ac:dyDescent="0.2">
      <c r="D5040" s="11"/>
    </row>
    <row r="5041" spans="4:4" x14ac:dyDescent="0.2">
      <c r="D5041" s="11"/>
    </row>
    <row r="5042" spans="4:4" x14ac:dyDescent="0.2">
      <c r="D5042" s="11"/>
    </row>
    <row r="5043" spans="4:4" x14ac:dyDescent="0.2">
      <c r="D5043" s="11"/>
    </row>
    <row r="5044" spans="4:4" x14ac:dyDescent="0.2">
      <c r="D5044" s="11"/>
    </row>
    <row r="5045" spans="4:4" x14ac:dyDescent="0.2">
      <c r="D5045" s="11"/>
    </row>
    <row r="5046" spans="4:4" x14ac:dyDescent="0.2">
      <c r="D5046" s="11"/>
    </row>
    <row r="5047" spans="4:4" x14ac:dyDescent="0.2">
      <c r="D5047" s="11"/>
    </row>
    <row r="5048" spans="4:4" x14ac:dyDescent="0.2">
      <c r="D5048" s="11"/>
    </row>
    <row r="5049" spans="4:4" x14ac:dyDescent="0.2">
      <c r="D5049" s="11"/>
    </row>
    <row r="5050" spans="4:4" x14ac:dyDescent="0.2">
      <c r="D5050" s="11"/>
    </row>
    <row r="5051" spans="4:4" x14ac:dyDescent="0.2">
      <c r="D5051" s="11"/>
    </row>
    <row r="5052" spans="4:4" x14ac:dyDescent="0.2">
      <c r="D5052" s="11"/>
    </row>
    <row r="5053" spans="4:4" x14ac:dyDescent="0.2">
      <c r="D5053" s="11"/>
    </row>
    <row r="5054" spans="4:4" x14ac:dyDescent="0.2">
      <c r="D5054" s="11"/>
    </row>
    <row r="5055" spans="4:4" x14ac:dyDescent="0.2">
      <c r="D5055" s="11"/>
    </row>
    <row r="5056" spans="4:4" x14ac:dyDescent="0.2">
      <c r="D5056" s="11"/>
    </row>
    <row r="5057" spans="4:4" x14ac:dyDescent="0.2">
      <c r="D5057" s="11"/>
    </row>
    <row r="5058" spans="4:4" x14ac:dyDescent="0.2">
      <c r="D5058" s="11"/>
    </row>
    <row r="5059" spans="4:4" x14ac:dyDescent="0.2">
      <c r="D5059" s="11"/>
    </row>
    <row r="5060" spans="4:4" x14ac:dyDescent="0.2">
      <c r="D5060" s="11"/>
    </row>
    <row r="5061" spans="4:4" x14ac:dyDescent="0.2">
      <c r="D5061" s="11"/>
    </row>
    <row r="5062" spans="4:4" x14ac:dyDescent="0.2">
      <c r="D5062" s="11"/>
    </row>
    <row r="5063" spans="4:4" x14ac:dyDescent="0.2">
      <c r="D5063" s="11"/>
    </row>
    <row r="5064" spans="4:4" x14ac:dyDescent="0.2">
      <c r="D5064" s="11"/>
    </row>
    <row r="5065" spans="4:4" x14ac:dyDescent="0.2">
      <c r="D5065" s="11"/>
    </row>
    <row r="5066" spans="4:4" x14ac:dyDescent="0.2">
      <c r="D5066" s="11"/>
    </row>
    <row r="5067" spans="4:4" x14ac:dyDescent="0.2">
      <c r="D5067" s="11"/>
    </row>
    <row r="5068" spans="4:4" x14ac:dyDescent="0.2">
      <c r="D5068" s="11"/>
    </row>
    <row r="5069" spans="4:4" x14ac:dyDescent="0.2">
      <c r="D5069" s="11"/>
    </row>
    <row r="5070" spans="4:4" x14ac:dyDescent="0.2">
      <c r="D5070" s="11"/>
    </row>
    <row r="5071" spans="4:4" x14ac:dyDescent="0.2">
      <c r="D5071" s="11"/>
    </row>
    <row r="5072" spans="4:4" x14ac:dyDescent="0.2">
      <c r="D5072" s="11"/>
    </row>
    <row r="5073" spans="4:4" x14ac:dyDescent="0.2">
      <c r="D5073" s="11"/>
    </row>
    <row r="5074" spans="4:4" x14ac:dyDescent="0.2">
      <c r="D5074" s="11"/>
    </row>
    <row r="5075" spans="4:4" x14ac:dyDescent="0.2">
      <c r="D5075" s="11"/>
    </row>
    <row r="5076" spans="4:4" x14ac:dyDescent="0.2">
      <c r="D5076" s="11"/>
    </row>
    <row r="5077" spans="4:4" x14ac:dyDescent="0.2">
      <c r="D5077" s="11"/>
    </row>
    <row r="5078" spans="4:4" x14ac:dyDescent="0.2">
      <c r="D5078" s="11"/>
    </row>
    <row r="5079" spans="4:4" x14ac:dyDescent="0.2">
      <c r="D5079" s="11"/>
    </row>
    <row r="5080" spans="4:4" x14ac:dyDescent="0.2">
      <c r="D5080" s="11"/>
    </row>
    <row r="5081" spans="4:4" x14ac:dyDescent="0.2">
      <c r="D5081" s="11"/>
    </row>
    <row r="5082" spans="4:4" x14ac:dyDescent="0.2">
      <c r="D5082" s="11"/>
    </row>
    <row r="5083" spans="4:4" x14ac:dyDescent="0.2">
      <c r="D5083" s="11"/>
    </row>
    <row r="5084" spans="4:4" x14ac:dyDescent="0.2">
      <c r="D5084" s="11"/>
    </row>
    <row r="5085" spans="4:4" x14ac:dyDescent="0.2">
      <c r="D5085" s="11"/>
    </row>
    <row r="5086" spans="4:4" x14ac:dyDescent="0.2">
      <c r="D5086" s="11"/>
    </row>
    <row r="5087" spans="4:4" x14ac:dyDescent="0.2">
      <c r="D5087" s="11"/>
    </row>
    <row r="5088" spans="4:4" x14ac:dyDescent="0.2">
      <c r="D5088" s="11"/>
    </row>
    <row r="5089" spans="4:4" x14ac:dyDescent="0.2">
      <c r="D5089" s="11"/>
    </row>
    <row r="5090" spans="4:4" x14ac:dyDescent="0.2">
      <c r="D5090" s="11"/>
    </row>
    <row r="5091" spans="4:4" x14ac:dyDescent="0.2">
      <c r="D5091" s="11"/>
    </row>
    <row r="5092" spans="4:4" x14ac:dyDescent="0.2">
      <c r="D5092" s="11"/>
    </row>
    <row r="5093" spans="4:4" x14ac:dyDescent="0.2">
      <c r="D5093" s="11"/>
    </row>
    <row r="5094" spans="4:4" x14ac:dyDescent="0.2">
      <c r="D5094" s="11"/>
    </row>
    <row r="5095" spans="4:4" x14ac:dyDescent="0.2">
      <c r="D5095" s="11"/>
    </row>
    <row r="5096" spans="4:4" x14ac:dyDescent="0.2">
      <c r="D5096" s="11"/>
    </row>
    <row r="5097" spans="4:4" x14ac:dyDescent="0.2">
      <c r="D5097" s="11"/>
    </row>
    <row r="5098" spans="4:4" x14ac:dyDescent="0.2">
      <c r="D5098" s="11"/>
    </row>
    <row r="5099" spans="4:4" x14ac:dyDescent="0.2">
      <c r="D5099" s="11"/>
    </row>
    <row r="5100" spans="4:4" x14ac:dyDescent="0.2">
      <c r="D5100" s="11"/>
    </row>
    <row r="5101" spans="4:4" x14ac:dyDescent="0.2">
      <c r="D5101" s="11"/>
    </row>
    <row r="5102" spans="4:4" x14ac:dyDescent="0.2">
      <c r="D5102" s="11"/>
    </row>
    <row r="5103" spans="4:4" x14ac:dyDescent="0.2">
      <c r="D5103" s="11"/>
    </row>
    <row r="5104" spans="4:4" x14ac:dyDescent="0.2">
      <c r="D5104" s="11"/>
    </row>
    <row r="5105" spans="4:4" x14ac:dyDescent="0.2">
      <c r="D5105" s="11"/>
    </row>
    <row r="5106" spans="4:4" x14ac:dyDescent="0.2">
      <c r="D5106" s="11"/>
    </row>
    <row r="5107" spans="4:4" x14ac:dyDescent="0.2">
      <c r="D5107" s="11"/>
    </row>
    <row r="5108" spans="4:4" x14ac:dyDescent="0.2">
      <c r="D5108" s="11"/>
    </row>
    <row r="5109" spans="4:4" x14ac:dyDescent="0.2">
      <c r="D5109" s="11"/>
    </row>
    <row r="5110" spans="4:4" x14ac:dyDescent="0.2">
      <c r="D5110" s="11"/>
    </row>
    <row r="5111" spans="4:4" x14ac:dyDescent="0.2">
      <c r="D5111" s="11"/>
    </row>
    <row r="5112" spans="4:4" x14ac:dyDescent="0.2">
      <c r="D5112" s="11"/>
    </row>
    <row r="5113" spans="4:4" x14ac:dyDescent="0.2">
      <c r="D5113" s="1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Hálová</dc:creator>
  <cp:lastModifiedBy>Pavel Caha</cp:lastModifiedBy>
  <cp:lastPrinted>2020-04-08T11:25:32Z</cp:lastPrinted>
  <dcterms:created xsi:type="dcterms:W3CDTF">2009-04-08T07:15:50Z</dcterms:created>
  <dcterms:modified xsi:type="dcterms:W3CDTF">2023-05-19T12:39:50Z</dcterms:modified>
</cp:coreProperties>
</file>